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EstaPasta_de_trabalho" defaultThemeVersion="124226"/>
  <mc:AlternateContent xmlns:mc="http://schemas.openxmlformats.org/markup-compatibility/2006">
    <mc:Choice Requires="x15">
      <x15ac:absPath xmlns:x15ac="http://schemas.microsoft.com/office/spreadsheetml/2010/11/ac" url="C:\Users\212539536\Box Sync\MN Product Management\Cortecs\S20\"/>
    </mc:Choice>
  </mc:AlternateContent>
  <xr:revisionPtr revIDLastSave="0" documentId="13_ncr:1_{5221C9D8-B4D4-4288-8B43-0217F93ED791}" xr6:coauthVersionLast="36" xr6:coauthVersionMax="36" xr10:uidLastSave="{00000000-0000-0000-0000-000000000000}"/>
  <workbookProtection workbookPassword="C927" lockStructure="1"/>
  <bookViews>
    <workbookView xWindow="30" yWindow="150" windowWidth="13035" windowHeight="7995" tabRatio="788" xr2:uid="{00000000-000D-0000-FFFF-FFFF00000000}"/>
  </bookViews>
  <sheets>
    <sheet name="Disclaimer" sheetId="7" r:id="rId1"/>
    <sheet name="Cortec" sheetId="6" r:id="rId2"/>
    <sheet name="Configurator" sheetId="5" r:id="rId3"/>
    <sheet name="Master Text" sheetId="4" r:id="rId4"/>
    <sheet name="Accessories" sheetId="8" r:id="rId5"/>
    <sheet name="Database" sheetId="3" state="hidden" r:id="rId6"/>
    <sheet name="Date Drivers" sheetId="2" state="hidden" r:id="rId7"/>
    <sheet name="Language" sheetId="1" state="hidden" r:id="rId8"/>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 i="8" l="1"/>
  <c r="A1" i="4"/>
  <c r="A1" i="5"/>
  <c r="A1" i="6"/>
  <c r="B1" i="7"/>
  <c r="D36" i="4"/>
  <c r="D34" i="4" l="1"/>
  <c r="AA1" i="2"/>
  <c r="D33" i="4" l="1"/>
  <c r="W1" i="2"/>
  <c r="D32" i="4" l="1"/>
  <c r="S1" i="2"/>
  <c r="D31" i="4" l="1"/>
  <c r="D95" i="3"/>
  <c r="K2" i="3"/>
  <c r="K1" i="3"/>
  <c r="O1" i="2" l="1"/>
  <c r="D30" i="4" l="1"/>
  <c r="D29" i="4"/>
  <c r="K1" i="2" l="1"/>
  <c r="C1" i="2"/>
  <c r="B3" i="1"/>
  <c r="C3" i="1"/>
  <c r="C6" i="3"/>
  <c r="C7" i="3" s="1"/>
  <c r="C10" i="3"/>
  <c r="C11" i="3" s="1"/>
  <c r="C12" i="3" s="1"/>
  <c r="D11" i="3"/>
  <c r="D12" i="3" s="1"/>
  <c r="C15" i="3"/>
  <c r="C19" i="3"/>
  <c r="C20" i="3" s="1"/>
  <c r="C21" i="3" s="1"/>
  <c r="C22" i="3" s="1"/>
  <c r="C23" i="3" s="1"/>
  <c r="C24" i="3" s="1"/>
  <c r="C25" i="3" s="1"/>
  <c r="C26" i="3" s="1"/>
  <c r="C27" i="3" s="1"/>
  <c r="C28" i="3" s="1"/>
  <c r="C29" i="3" s="1"/>
  <c r="C30" i="3" s="1"/>
  <c r="C31" i="3" s="1"/>
  <c r="D20" i="3"/>
  <c r="D21" i="3" s="1"/>
  <c r="D22" i="3" s="1"/>
  <c r="D23" i="3" s="1"/>
  <c r="D24" i="3" s="1"/>
  <c r="D25" i="3" s="1"/>
  <c r="D26" i="3" s="1"/>
  <c r="D27" i="3" s="1"/>
  <c r="D28" i="3" s="1"/>
  <c r="D29" i="3" s="1"/>
  <c r="D30" i="3" s="1"/>
  <c r="D31" i="3" s="1"/>
  <c r="C34" i="3"/>
  <c r="C35" i="3"/>
  <c r="C36" i="3" s="1"/>
  <c r="C37" i="3" s="1"/>
  <c r="C38" i="3" s="1"/>
  <c r="C39" i="3" s="1"/>
  <c r="C40" i="3" s="1"/>
  <c r="C41" i="3" s="1"/>
  <c r="C42" i="3" s="1"/>
  <c r="C43" i="3" s="1"/>
  <c r="D35" i="3"/>
  <c r="D36" i="3" s="1"/>
  <c r="D37" i="3" s="1"/>
  <c r="D38" i="3" s="1"/>
  <c r="D39" i="3" s="1"/>
  <c r="D40" i="3" s="1"/>
  <c r="D41" i="3" s="1"/>
  <c r="D42" i="3" s="1"/>
  <c r="D43" i="3" s="1"/>
  <c r="C46" i="3"/>
  <c r="C47" i="3" s="1"/>
  <c r="C48" i="3" s="1"/>
  <c r="C49" i="3" s="1"/>
  <c r="C50" i="3" s="1"/>
  <c r="C51" i="3" s="1"/>
  <c r="C52" i="3" s="1"/>
  <c r="C53" i="3" s="1"/>
  <c r="C54" i="3" s="1"/>
  <c r="C55" i="3" s="1"/>
  <c r="D47" i="3"/>
  <c r="D48" i="3" s="1"/>
  <c r="D49" i="3" s="1"/>
  <c r="D50" i="3" s="1"/>
  <c r="D51" i="3"/>
  <c r="D52" i="3" s="1"/>
  <c r="D53" i="3" s="1"/>
  <c r="D54" i="3" s="1"/>
  <c r="D55" i="3" s="1"/>
  <c r="C58" i="3"/>
  <c r="C59" i="3" s="1"/>
  <c r="C60" i="3" s="1"/>
  <c r="C61" i="3" s="1"/>
  <c r="C62" i="3" s="1"/>
  <c r="C63" i="3" s="1"/>
  <c r="C64" i="3" s="1"/>
  <c r="C65" i="3" s="1"/>
  <c r="C66" i="3" s="1"/>
  <c r="C67" i="3" s="1"/>
  <c r="D59" i="3"/>
  <c r="D60" i="3" s="1"/>
  <c r="D61" i="3" s="1"/>
  <c r="D62" i="3" s="1"/>
  <c r="D63" i="3" s="1"/>
  <c r="D64" i="3" s="1"/>
  <c r="D65" i="3" s="1"/>
  <c r="D66" i="3" s="1"/>
  <c r="D67" i="3" s="1"/>
  <c r="C70" i="3"/>
  <c r="C71" i="3"/>
  <c r="C72" i="3" s="1"/>
  <c r="C73" i="3" s="1"/>
  <c r="C74" i="3" s="1"/>
  <c r="C75" i="3" s="1"/>
  <c r="C76" i="3" s="1"/>
  <c r="C77" i="3" s="1"/>
  <c r="C78" i="3" s="1"/>
  <c r="C79" i="3" s="1"/>
  <c r="D71" i="3"/>
  <c r="D72" i="3" s="1"/>
  <c r="D73" i="3" s="1"/>
  <c r="D74" i="3" s="1"/>
  <c r="D75" i="3" s="1"/>
  <c r="D76" i="3" s="1"/>
  <c r="D77" i="3" s="1"/>
  <c r="D78" i="3" s="1"/>
  <c r="D79" i="3" s="1"/>
  <c r="C82" i="3"/>
  <c r="C83" i="3" s="1"/>
  <c r="C84" i="3" s="1"/>
  <c r="C85" i="3" s="1"/>
  <c r="C86" i="3" s="1"/>
  <c r="C87" i="3" s="1"/>
  <c r="C88" i="3" s="1"/>
  <c r="C89" i="3" s="1"/>
  <c r="C90" i="3" s="1"/>
  <c r="C91" i="3" s="1"/>
  <c r="D83" i="3"/>
  <c r="D84" i="3"/>
  <c r="D85" i="3" s="1"/>
  <c r="D86" i="3" s="1"/>
  <c r="D87" i="3" s="1"/>
  <c r="D88" i="3" s="1"/>
  <c r="D89" i="3" s="1"/>
  <c r="D90" i="3" s="1"/>
  <c r="D91" i="3" s="1"/>
  <c r="C94" i="3"/>
  <c r="C95" i="3" s="1"/>
  <c r="C98" i="3"/>
  <c r="C99" i="3" s="1"/>
  <c r="C36" i="4" l="1"/>
  <c r="C35" i="4"/>
  <c r="B5" i="8"/>
  <c r="B9" i="8"/>
  <c r="B10" i="8"/>
  <c r="B12" i="8"/>
  <c r="B6" i="8"/>
  <c r="B7" i="8"/>
  <c r="B11" i="8"/>
  <c r="B8" i="8"/>
  <c r="AA74" i="2"/>
  <c r="AA28" i="2"/>
  <c r="AA84" i="2"/>
  <c r="AA40" i="2"/>
  <c r="AA63" i="2"/>
  <c r="AA27" i="2"/>
  <c r="AA73" i="2"/>
  <c r="AA24" i="2"/>
  <c r="AA52" i="2"/>
  <c r="AA62" i="2"/>
  <c r="AA85" i="2"/>
  <c r="AA25" i="2"/>
  <c r="C34" i="4"/>
  <c r="AA90" i="2"/>
  <c r="AA26" i="2"/>
  <c r="AA41" i="2"/>
  <c r="AA51" i="2"/>
  <c r="AA81" i="2"/>
  <c r="AA77" i="2"/>
  <c r="AA72" i="2"/>
  <c r="AA68" i="2"/>
  <c r="AA59" i="2"/>
  <c r="AA55" i="2"/>
  <c r="AA50" i="2"/>
  <c r="AA46" i="2"/>
  <c r="AA37" i="2"/>
  <c r="AA33" i="2"/>
  <c r="AA22" i="2"/>
  <c r="AA18" i="2"/>
  <c r="AA11" i="2"/>
  <c r="AA6" i="2"/>
  <c r="AA82" i="2"/>
  <c r="AA69" i="2"/>
  <c r="AA65" i="2"/>
  <c r="AA43" i="2"/>
  <c r="AA13" i="2"/>
  <c r="AA89" i="2"/>
  <c r="AA80" i="2"/>
  <c r="AA76" i="2"/>
  <c r="AA71" i="2"/>
  <c r="AA67" i="2"/>
  <c r="AA58" i="2"/>
  <c r="AA54" i="2"/>
  <c r="AA49" i="2"/>
  <c r="AA45" i="2"/>
  <c r="AA36" i="2"/>
  <c r="AA32" i="2"/>
  <c r="AA21" i="2"/>
  <c r="AA17" i="2"/>
  <c r="AA10" i="2"/>
  <c r="AA5" i="2"/>
  <c r="AA78" i="2"/>
  <c r="AA56" i="2"/>
  <c r="AA38" i="2"/>
  <c r="AA23" i="2"/>
  <c r="AA88" i="2"/>
  <c r="AA83" i="2"/>
  <c r="AA79" i="2"/>
  <c r="AA70" i="2"/>
  <c r="AA66" i="2"/>
  <c r="AA61" i="2"/>
  <c r="AA57" i="2"/>
  <c r="AA48" i="2"/>
  <c r="AA44" i="2"/>
  <c r="AA39" i="2"/>
  <c r="AA35" i="2"/>
  <c r="AA20" i="2"/>
  <c r="AA16" i="2"/>
  <c r="AA9" i="2"/>
  <c r="AA4" i="2"/>
  <c r="AA87" i="2"/>
  <c r="AA60" i="2"/>
  <c r="AA47" i="2"/>
  <c r="AA34" i="2"/>
  <c r="AA19" i="2"/>
  <c r="AA7" i="2"/>
  <c r="C33" i="4"/>
  <c r="W87" i="2"/>
  <c r="W84" i="2"/>
  <c r="W80" i="2"/>
  <c r="W76" i="2"/>
  <c r="W71" i="2"/>
  <c r="W67" i="2"/>
  <c r="W62" i="2"/>
  <c r="W58" i="2"/>
  <c r="W54" i="2"/>
  <c r="W49" i="2"/>
  <c r="W45" i="2"/>
  <c r="W40" i="2"/>
  <c r="W36" i="2"/>
  <c r="W32" i="2"/>
  <c r="W25" i="2"/>
  <c r="W21" i="2"/>
  <c r="W17" i="2"/>
  <c r="W10" i="2"/>
  <c r="W5" i="2"/>
  <c r="W90" i="2"/>
  <c r="W83" i="2"/>
  <c r="W79" i="2"/>
  <c r="W74" i="2"/>
  <c r="W70" i="2"/>
  <c r="W66" i="2"/>
  <c r="W61" i="2"/>
  <c r="W57" i="2"/>
  <c r="W52" i="2"/>
  <c r="W48" i="2"/>
  <c r="W44" i="2"/>
  <c r="W39" i="2"/>
  <c r="W35" i="2"/>
  <c r="W28" i="2"/>
  <c r="W24" i="2"/>
  <c r="W20" i="2"/>
  <c r="W16" i="2"/>
  <c r="W9" i="2"/>
  <c r="W4" i="2"/>
  <c r="W89" i="2"/>
  <c r="W82" i="2"/>
  <c r="W78" i="2"/>
  <c r="W73" i="2"/>
  <c r="W69" i="2"/>
  <c r="W65" i="2"/>
  <c r="W60" i="2"/>
  <c r="W56" i="2"/>
  <c r="W51" i="2"/>
  <c r="W47" i="2"/>
  <c r="W43" i="2"/>
  <c r="W38" i="2"/>
  <c r="W34" i="2"/>
  <c r="W27" i="2"/>
  <c r="W23" i="2"/>
  <c r="W19" i="2"/>
  <c r="W13" i="2"/>
  <c r="W7" i="2"/>
  <c r="W88" i="2"/>
  <c r="W85" i="2"/>
  <c r="W81" i="2"/>
  <c r="W77" i="2"/>
  <c r="W72" i="2"/>
  <c r="W68" i="2"/>
  <c r="W63" i="2"/>
  <c r="W59" i="2"/>
  <c r="W55" i="2"/>
  <c r="W50" i="2"/>
  <c r="W46" i="2"/>
  <c r="W41" i="2"/>
  <c r="W37" i="2"/>
  <c r="W33" i="2"/>
  <c r="W26" i="2"/>
  <c r="W22" i="2"/>
  <c r="W18" i="2"/>
  <c r="W11" i="2"/>
  <c r="W6" i="2"/>
  <c r="A2" i="8"/>
  <c r="B3" i="8"/>
  <c r="A3" i="8"/>
  <c r="C80" i="2"/>
  <c r="S25" i="2"/>
  <c r="S17" i="2"/>
  <c r="S89" i="2"/>
  <c r="S83" i="2"/>
  <c r="S79" i="2"/>
  <c r="S74" i="2"/>
  <c r="S70" i="2"/>
  <c r="S66" i="2"/>
  <c r="S61" i="2"/>
  <c r="S57" i="2"/>
  <c r="S52" i="2"/>
  <c r="S48" i="2"/>
  <c r="S44" i="2"/>
  <c r="S39" i="2"/>
  <c r="S35" i="2"/>
  <c r="S28" i="2"/>
  <c r="S24" i="2"/>
  <c r="S20" i="2"/>
  <c r="S16" i="2"/>
  <c r="S9" i="2"/>
  <c r="S4" i="2"/>
  <c r="S87" i="2"/>
  <c r="S82" i="2"/>
  <c r="S78" i="2"/>
  <c r="S73" i="2"/>
  <c r="S69" i="2"/>
  <c r="S65" i="2"/>
  <c r="S60" i="2"/>
  <c r="S56" i="2"/>
  <c r="S51" i="2"/>
  <c r="S47" i="2"/>
  <c r="S43" i="2"/>
  <c r="S38" i="2"/>
  <c r="S34" i="2"/>
  <c r="S27" i="2"/>
  <c r="S23" i="2"/>
  <c r="S19" i="2"/>
  <c r="S13" i="2"/>
  <c r="S7" i="2"/>
  <c r="C32" i="4"/>
  <c r="S85" i="2"/>
  <c r="S81" i="2"/>
  <c r="S77" i="2"/>
  <c r="S72" i="2"/>
  <c r="S68" i="2"/>
  <c r="S63" i="2"/>
  <c r="S59" i="2"/>
  <c r="S55" i="2"/>
  <c r="S50" i="2"/>
  <c r="S46" i="2"/>
  <c r="S41" i="2"/>
  <c r="S37" i="2"/>
  <c r="S33" i="2"/>
  <c r="S26" i="2"/>
  <c r="S22" i="2"/>
  <c r="S18" i="2"/>
  <c r="S11" i="2"/>
  <c r="S6" i="2"/>
  <c r="S90" i="2"/>
  <c r="S84" i="2"/>
  <c r="S80" i="2"/>
  <c r="S76" i="2"/>
  <c r="S71" i="2"/>
  <c r="S67" i="2"/>
  <c r="S62" i="2"/>
  <c r="S58" i="2"/>
  <c r="S54" i="2"/>
  <c r="S49" i="2"/>
  <c r="S45" i="2"/>
  <c r="S40" i="2"/>
  <c r="S36" i="2"/>
  <c r="S32" i="2"/>
  <c r="S21" i="2"/>
  <c r="S10" i="2"/>
  <c r="S5" i="2"/>
  <c r="C31" i="4"/>
  <c r="O88" i="2"/>
  <c r="O87" i="2"/>
  <c r="D4" i="6"/>
  <c r="C21" i="2"/>
  <c r="A27" i="4"/>
  <c r="O82" i="2"/>
  <c r="O78" i="2"/>
  <c r="O73" i="2"/>
  <c r="O69" i="2"/>
  <c r="O65" i="2"/>
  <c r="O60" i="2"/>
  <c r="O56" i="2"/>
  <c r="O51" i="2"/>
  <c r="O47" i="2"/>
  <c r="O43" i="2"/>
  <c r="O38" i="2"/>
  <c r="O34" i="2"/>
  <c r="O27" i="2"/>
  <c r="O23" i="2"/>
  <c r="O19" i="2"/>
  <c r="O13" i="2"/>
  <c r="O7" i="2"/>
  <c r="O26" i="2"/>
  <c r="O11" i="2"/>
  <c r="O90" i="2"/>
  <c r="O71" i="2"/>
  <c r="O67" i="2"/>
  <c r="O58" i="2"/>
  <c r="O49" i="2"/>
  <c r="O40" i="2"/>
  <c r="O25" i="2"/>
  <c r="O10" i="2"/>
  <c r="O89" i="2"/>
  <c r="O79" i="2"/>
  <c r="O70" i="2"/>
  <c r="O66" i="2"/>
  <c r="O57" i="2"/>
  <c r="O44" i="2"/>
  <c r="O28" i="2"/>
  <c r="O20" i="2"/>
  <c r="O4" i="2"/>
  <c r="O85" i="2"/>
  <c r="O81" i="2"/>
  <c r="O77" i="2"/>
  <c r="O72" i="2"/>
  <c r="O68" i="2"/>
  <c r="O63" i="2"/>
  <c r="O59" i="2"/>
  <c r="O55" i="2"/>
  <c r="O50" i="2"/>
  <c r="O46" i="2"/>
  <c r="O41" i="2"/>
  <c r="O37" i="2"/>
  <c r="O33" i="2"/>
  <c r="O22" i="2"/>
  <c r="O18" i="2"/>
  <c r="O6" i="2"/>
  <c r="O84" i="2"/>
  <c r="O80" i="2"/>
  <c r="O76" i="2"/>
  <c r="O62" i="2"/>
  <c r="O54" i="2"/>
  <c r="O45" i="2"/>
  <c r="O36" i="2"/>
  <c r="O32" i="2"/>
  <c r="O21" i="2"/>
  <c r="O17" i="2"/>
  <c r="O5" i="2"/>
  <c r="O83" i="2"/>
  <c r="O74" i="2"/>
  <c r="O61" i="2"/>
  <c r="O52" i="2"/>
  <c r="O48" i="2"/>
  <c r="O39" i="2"/>
  <c r="O35" i="2"/>
  <c r="O24" i="2"/>
  <c r="O16" i="2"/>
  <c r="O9" i="2"/>
  <c r="C30" i="4"/>
  <c r="C61" i="2"/>
  <c r="B4" i="7"/>
  <c r="G43" i="2"/>
  <c r="K18" i="2"/>
  <c r="K87" i="2"/>
  <c r="K82" i="2"/>
  <c r="K78" i="2"/>
  <c r="K73" i="2"/>
  <c r="K69" i="2"/>
  <c r="K65" i="2"/>
  <c r="K60" i="2"/>
  <c r="K56" i="2"/>
  <c r="K51" i="2"/>
  <c r="K47" i="2"/>
  <c r="K43" i="2"/>
  <c r="K38" i="2"/>
  <c r="K34" i="2"/>
  <c r="K27" i="2"/>
  <c r="K23" i="2"/>
  <c r="K19" i="2"/>
  <c r="K13" i="2"/>
  <c r="K7" i="2"/>
  <c r="G4" i="2"/>
  <c r="C6" i="2"/>
  <c r="B9" i="2"/>
  <c r="B9" i="3" s="1"/>
  <c r="A7" i="5" s="1"/>
  <c r="G10" i="2"/>
  <c r="C13" i="2"/>
  <c r="G16" i="2"/>
  <c r="G18" i="2"/>
  <c r="G20" i="2"/>
  <c r="G22" i="2"/>
  <c r="C25" i="2"/>
  <c r="B32" i="2"/>
  <c r="B33" i="3" s="1"/>
  <c r="A12" i="4" s="1"/>
  <c r="G33" i="2"/>
  <c r="G35" i="2"/>
  <c r="G37" i="2"/>
  <c r="G39" i="2"/>
  <c r="C43" i="2"/>
  <c r="C45" i="2"/>
  <c r="C47" i="2"/>
  <c r="C49" i="2"/>
  <c r="C51" i="2"/>
  <c r="G54" i="2"/>
  <c r="G56" i="2"/>
  <c r="G58" i="2"/>
  <c r="G60" i="2"/>
  <c r="C63" i="2"/>
  <c r="C66" i="2"/>
  <c r="C68" i="2"/>
  <c r="C70" i="2"/>
  <c r="C72" i="2"/>
  <c r="B76" i="2"/>
  <c r="B81" i="3" s="1"/>
  <c r="A20" i="4" s="1"/>
  <c r="G77" i="2"/>
  <c r="G79" i="2"/>
  <c r="G81" i="2"/>
  <c r="G83" i="2"/>
  <c r="C87" i="2"/>
  <c r="G89" i="2"/>
  <c r="K90" i="2"/>
  <c r="K84" i="2"/>
  <c r="K80" i="2"/>
  <c r="K76" i="2"/>
  <c r="K71" i="2"/>
  <c r="K67" i="2"/>
  <c r="K62" i="2"/>
  <c r="K58" i="2"/>
  <c r="K54" i="2"/>
  <c r="K49" i="2"/>
  <c r="K45" i="2"/>
  <c r="K40" i="2"/>
  <c r="K36" i="2"/>
  <c r="K32" i="2"/>
  <c r="K25" i="2"/>
  <c r="K21" i="2"/>
  <c r="K17" i="2"/>
  <c r="K10" i="2"/>
  <c r="K5" i="2"/>
  <c r="B4" i="2"/>
  <c r="B2" i="3" s="1"/>
  <c r="A6" i="6" s="1"/>
  <c r="G5" i="2"/>
  <c r="C7" i="2"/>
  <c r="G9" i="2"/>
  <c r="G11" i="2"/>
  <c r="B16" i="2"/>
  <c r="B18" i="3" s="1"/>
  <c r="A10" i="4" s="1"/>
  <c r="G17" i="2"/>
  <c r="G19" i="2"/>
  <c r="G21" i="2"/>
  <c r="G23" i="2"/>
  <c r="C27" i="2"/>
  <c r="G32" i="2"/>
  <c r="G34" i="2"/>
  <c r="G36" i="2"/>
  <c r="G38" i="2"/>
  <c r="C41" i="2"/>
  <c r="C44" i="2"/>
  <c r="C46" i="2"/>
  <c r="C48" i="2"/>
  <c r="C50" i="2"/>
  <c r="B54" i="2"/>
  <c r="B57" i="3" s="1"/>
  <c r="A16" i="4" s="1"/>
  <c r="G55" i="2"/>
  <c r="G57" i="2"/>
  <c r="G59" i="2"/>
  <c r="G61" i="2"/>
  <c r="C65" i="2"/>
  <c r="C67" i="2"/>
  <c r="C69" i="2"/>
  <c r="C71" i="2"/>
  <c r="C73" i="2"/>
  <c r="G76" i="2"/>
  <c r="G78" i="2"/>
  <c r="G80" i="2"/>
  <c r="G82" i="2"/>
  <c r="C85" i="2"/>
  <c r="B89" i="2"/>
  <c r="B97" i="3" s="1"/>
  <c r="A24" i="4" s="1"/>
  <c r="G90" i="2"/>
  <c r="K89" i="2"/>
  <c r="K83" i="2"/>
  <c r="K79" i="2"/>
  <c r="K74" i="2"/>
  <c r="K70" i="2"/>
  <c r="K66" i="2"/>
  <c r="K61" i="2"/>
  <c r="K57" i="2"/>
  <c r="K52" i="2"/>
  <c r="K48" i="2"/>
  <c r="K44" i="2"/>
  <c r="K39" i="2"/>
  <c r="K35" i="2"/>
  <c r="K28" i="2"/>
  <c r="K24" i="2"/>
  <c r="K20" i="2"/>
  <c r="K16" i="2"/>
  <c r="K9" i="2"/>
  <c r="K4" i="2"/>
  <c r="C4" i="2"/>
  <c r="B6" i="2"/>
  <c r="B5" i="3" s="1"/>
  <c r="A4" i="4" s="1"/>
  <c r="G7" i="2"/>
  <c r="C10" i="2"/>
  <c r="B13" i="2"/>
  <c r="B14" i="3" s="1"/>
  <c r="C16" i="2"/>
  <c r="C18" i="2"/>
  <c r="C20" i="2"/>
  <c r="C22" i="2"/>
  <c r="C24" i="2"/>
  <c r="C28" i="2"/>
  <c r="C33" i="2"/>
  <c r="C35" i="2"/>
  <c r="C37" i="2"/>
  <c r="C39" i="2"/>
  <c r="B43" i="2"/>
  <c r="B45" i="3" s="1"/>
  <c r="A14" i="4" s="1"/>
  <c r="G44" i="2"/>
  <c r="G46" i="2"/>
  <c r="G48" i="2"/>
  <c r="G50" i="2"/>
  <c r="C54" i="2"/>
  <c r="C56" i="2"/>
  <c r="C58" i="2"/>
  <c r="C60" i="2"/>
  <c r="C62" i="2"/>
  <c r="G65" i="2"/>
  <c r="G67" i="2"/>
  <c r="G69" i="2"/>
  <c r="G71" i="2"/>
  <c r="C74" i="2"/>
  <c r="C77" i="2"/>
  <c r="C79" i="2"/>
  <c r="C81" i="2"/>
  <c r="C83" i="2"/>
  <c r="B87" i="2"/>
  <c r="B93" i="3" s="1"/>
  <c r="C89" i="2"/>
  <c r="K77" i="2"/>
  <c r="K59" i="2"/>
  <c r="K41" i="2"/>
  <c r="K22" i="2"/>
  <c r="C9" i="2"/>
  <c r="C19" i="2"/>
  <c r="C32" i="2"/>
  <c r="C40" i="2"/>
  <c r="G49" i="2"/>
  <c r="C59" i="2"/>
  <c r="G68" i="2"/>
  <c r="C78" i="2"/>
  <c r="G87" i="2"/>
  <c r="U2" i="5"/>
  <c r="A4" i="6"/>
  <c r="B3" i="7"/>
  <c r="K85" i="2"/>
  <c r="K68" i="2"/>
  <c r="K50" i="2"/>
  <c r="K33" i="2"/>
  <c r="K11" i="2"/>
  <c r="C5" i="2"/>
  <c r="E3" i="3" s="1"/>
  <c r="G13" i="2"/>
  <c r="C23" i="2"/>
  <c r="C36" i="2"/>
  <c r="G45" i="2"/>
  <c r="C55" i="2"/>
  <c r="B65" i="2"/>
  <c r="B69" i="3" s="1"/>
  <c r="G72" i="2"/>
  <c r="C82" i="2"/>
  <c r="C28" i="4"/>
  <c r="B6" i="7"/>
  <c r="K81" i="2"/>
  <c r="K63" i="2"/>
  <c r="K46" i="2"/>
  <c r="K26" i="2"/>
  <c r="K6" i="2"/>
  <c r="G6" i="2"/>
  <c r="C17" i="2"/>
  <c r="C26" i="2"/>
  <c r="C38" i="2"/>
  <c r="G47" i="2"/>
  <c r="C57" i="2"/>
  <c r="G66" i="2"/>
  <c r="C76" i="2"/>
  <c r="C84" i="2"/>
  <c r="C29" i="4"/>
  <c r="A2" i="6"/>
  <c r="B11" i="7"/>
  <c r="K55" i="2"/>
  <c r="G70" i="2"/>
  <c r="C34" i="2"/>
  <c r="K72" i="2"/>
  <c r="C90" i="2"/>
  <c r="C52" i="2"/>
  <c r="C11" i="2"/>
  <c r="K37" i="2"/>
  <c r="A11" i="5"/>
  <c r="G95" i="3"/>
  <c r="F95" i="3"/>
  <c r="E95" i="3"/>
  <c r="A98" i="6" l="1"/>
  <c r="N98" i="6"/>
  <c r="A6" i="4"/>
  <c r="A21" i="6"/>
  <c r="A5" i="5"/>
  <c r="A9" i="6"/>
  <c r="A25" i="5"/>
  <c r="A36" i="6"/>
  <c r="A100" i="6"/>
  <c r="A84" i="6"/>
  <c r="A23" i="5"/>
  <c r="A13" i="5"/>
  <c r="A13" i="6"/>
  <c r="A21" i="5"/>
  <c r="A17" i="5"/>
  <c r="A15" i="5"/>
  <c r="A48" i="6"/>
  <c r="A22" i="4"/>
  <c r="A96" i="6"/>
  <c r="A8" i="4"/>
  <c r="A9" i="5"/>
  <c r="A18" i="6"/>
  <c r="A60" i="6"/>
  <c r="D7" i="6"/>
  <c r="F4" i="5"/>
  <c r="A18" i="4"/>
  <c r="A19" i="5"/>
  <c r="A72" i="6"/>
  <c r="E88" i="3"/>
  <c r="F76" i="3"/>
  <c r="G43" i="3"/>
  <c r="H62" i="3"/>
  <c r="G37" i="3"/>
  <c r="H98" i="3"/>
  <c r="G24" i="3"/>
  <c r="E98" i="3"/>
  <c r="E47" i="3"/>
  <c r="E46" i="3"/>
  <c r="G77" i="3"/>
  <c r="E19" i="3"/>
  <c r="G12" i="3"/>
  <c r="F28" i="3"/>
  <c r="H20" i="3"/>
  <c r="G11" i="3"/>
  <c r="H85" i="3"/>
  <c r="G91" i="3"/>
  <c r="G60" i="3"/>
  <c r="G94" i="3"/>
  <c r="H76" i="3"/>
  <c r="H73" i="3"/>
  <c r="H51" i="3"/>
  <c r="E91" i="3"/>
  <c r="H6" i="3"/>
  <c r="H37" i="3"/>
  <c r="E48" i="3"/>
  <c r="G70" i="3"/>
  <c r="G39" i="3"/>
  <c r="E84" i="3"/>
  <c r="F39" i="3"/>
  <c r="G65" i="3"/>
  <c r="G75" i="3"/>
  <c r="E89" i="3"/>
  <c r="F29" i="3"/>
  <c r="G89" i="3"/>
  <c r="H83" i="3"/>
  <c r="G23" i="3"/>
  <c r="H34" i="3"/>
  <c r="E59" i="3"/>
  <c r="H54" i="3"/>
  <c r="F59" i="3"/>
  <c r="F75" i="3"/>
  <c r="E27" i="3"/>
  <c r="F25" i="3"/>
  <c r="F40" i="3"/>
  <c r="F62" i="3"/>
  <c r="E82" i="3"/>
  <c r="F31" i="3"/>
  <c r="E30" i="3"/>
  <c r="F43" i="3"/>
  <c r="H72" i="3"/>
  <c r="H27" i="3"/>
  <c r="E6" i="3"/>
  <c r="E71" i="3"/>
  <c r="F67" i="3"/>
  <c r="F98" i="3"/>
  <c r="H10" i="3"/>
  <c r="H50" i="3"/>
  <c r="E72" i="3"/>
  <c r="E85" i="3"/>
  <c r="F60" i="3"/>
  <c r="H71" i="3"/>
  <c r="E51" i="3"/>
  <c r="F15" i="3"/>
  <c r="G40" i="3"/>
  <c r="G82" i="3"/>
  <c r="F72" i="3"/>
  <c r="F37" i="3"/>
  <c r="F83" i="3"/>
  <c r="G61" i="3"/>
  <c r="G50" i="3"/>
  <c r="F19" i="3"/>
  <c r="G20" i="3"/>
  <c r="E70" i="3"/>
  <c r="G62" i="3"/>
  <c r="G6" i="3"/>
  <c r="F99" i="3"/>
  <c r="H53" i="3"/>
  <c r="E39" i="3"/>
  <c r="H7" i="3"/>
  <c r="H70" i="3"/>
  <c r="F89" i="3"/>
  <c r="H64" i="3"/>
  <c r="E21" i="3"/>
  <c r="F78" i="3"/>
  <c r="H30" i="3"/>
  <c r="H35" i="3"/>
  <c r="F63" i="3"/>
  <c r="H12" i="3"/>
  <c r="G49" i="3"/>
  <c r="F21" i="3"/>
  <c r="F48" i="3"/>
  <c r="E41" i="3"/>
  <c r="E50" i="3"/>
  <c r="G55" i="3"/>
  <c r="H47" i="3"/>
  <c r="F94" i="3"/>
  <c r="G78" i="3"/>
  <c r="G15" i="3"/>
  <c r="E76" i="3"/>
  <c r="H41" i="3"/>
  <c r="E90" i="3"/>
  <c r="G30" i="3"/>
  <c r="E40" i="3"/>
  <c r="G35" i="3"/>
  <c r="E26" i="3"/>
  <c r="H59" i="3"/>
  <c r="E65" i="3"/>
  <c r="G79" i="3"/>
  <c r="H42" i="3"/>
  <c r="H31" i="3"/>
  <c r="E38" i="3"/>
  <c r="E24" i="3"/>
  <c r="E73" i="3"/>
  <c r="E23" i="3"/>
  <c r="F24" i="3"/>
  <c r="F6" i="3"/>
  <c r="E94" i="3"/>
  <c r="F79" i="3"/>
  <c r="H99" i="3"/>
  <c r="H74" i="3"/>
  <c r="F11" i="3"/>
  <c r="F50" i="3"/>
  <c r="E62" i="3"/>
  <c r="F85" i="3"/>
  <c r="F70" i="3"/>
  <c r="G67" i="3"/>
  <c r="H63" i="3"/>
  <c r="F73" i="3"/>
  <c r="F53" i="3"/>
  <c r="E11" i="3"/>
  <c r="F55" i="3"/>
  <c r="G88" i="3"/>
  <c r="E22" i="3"/>
  <c r="H21" i="3"/>
  <c r="H78" i="3"/>
  <c r="G86" i="3"/>
  <c r="G90" i="3"/>
  <c r="F86" i="3"/>
  <c r="F82" i="3"/>
  <c r="E37" i="3"/>
  <c r="G41" i="3"/>
  <c r="E75" i="3"/>
  <c r="E36" i="3"/>
  <c r="G99" i="3"/>
  <c r="F71" i="3"/>
  <c r="E55" i="3"/>
  <c r="H79" i="3"/>
  <c r="E60" i="3"/>
  <c r="E12" i="3"/>
  <c r="E28" i="3"/>
  <c r="F91" i="3"/>
  <c r="E87" i="3"/>
  <c r="H84" i="3"/>
  <c r="H87" i="3"/>
  <c r="E53" i="3"/>
  <c r="H15" i="3"/>
  <c r="H49" i="3"/>
  <c r="E64" i="3"/>
  <c r="H82" i="3"/>
  <c r="F87" i="3"/>
  <c r="H28" i="3"/>
  <c r="E79" i="3"/>
  <c r="G36" i="3"/>
  <c r="E77" i="3"/>
  <c r="G66" i="3"/>
  <c r="F66" i="3"/>
  <c r="F42" i="3"/>
  <c r="G47" i="3"/>
  <c r="F88" i="3"/>
  <c r="H60" i="3"/>
  <c r="E63" i="3"/>
  <c r="G28" i="3"/>
  <c r="F65" i="3"/>
  <c r="E2" i="3"/>
  <c r="F51" i="3"/>
  <c r="F52" i="3"/>
  <c r="H22" i="3"/>
  <c r="G87" i="3"/>
  <c r="E54" i="3"/>
  <c r="G85" i="3"/>
  <c r="H61" i="3"/>
  <c r="G29" i="3"/>
  <c r="G73" i="3"/>
  <c r="G64" i="3"/>
  <c r="G63" i="3"/>
  <c r="E43" i="3"/>
  <c r="H88" i="3"/>
  <c r="F12" i="3"/>
  <c r="F20" i="3"/>
  <c r="H36" i="3"/>
  <c r="H48" i="3"/>
  <c r="F77" i="3"/>
  <c r="H26" i="3"/>
  <c r="H46" i="3"/>
  <c r="F90" i="3"/>
  <c r="E15" i="3"/>
  <c r="F61" i="3"/>
  <c r="H67" i="3"/>
  <c r="G72" i="3"/>
  <c r="H29" i="3"/>
  <c r="H24" i="3"/>
  <c r="F23" i="3"/>
  <c r="F58" i="3"/>
  <c r="G27" i="3"/>
  <c r="E31" i="3"/>
  <c r="E74" i="3"/>
  <c r="E42" i="3"/>
  <c r="H55" i="3"/>
  <c r="E10" i="3"/>
  <c r="H86" i="3"/>
  <c r="E61" i="3"/>
  <c r="F49" i="3"/>
  <c r="F41" i="3"/>
  <c r="G71" i="3"/>
  <c r="G51" i="3"/>
  <c r="H91" i="3"/>
  <c r="H90" i="3"/>
  <c r="F22" i="3"/>
  <c r="F7" i="3"/>
  <c r="G31" i="3"/>
  <c r="F84" i="3"/>
  <c r="E25" i="3"/>
  <c r="G76" i="3"/>
  <c r="G42" i="3"/>
  <c r="H40" i="3"/>
  <c r="G46" i="3"/>
  <c r="G58" i="3"/>
  <c r="G2" i="3"/>
  <c r="E83" i="3"/>
  <c r="F74" i="3"/>
  <c r="H58" i="3"/>
  <c r="H89" i="3"/>
  <c r="H66" i="3"/>
  <c r="G21" i="3"/>
  <c r="G22" i="3"/>
  <c r="E86" i="3"/>
  <c r="H2" i="3"/>
  <c r="E49" i="3"/>
  <c r="E58" i="3"/>
  <c r="F36" i="3"/>
  <c r="E35" i="3"/>
  <c r="H23" i="3"/>
  <c r="H77" i="3"/>
  <c r="G10" i="3"/>
  <c r="H75" i="3"/>
  <c r="H94" i="3"/>
  <c r="F35" i="3"/>
  <c r="F27" i="3"/>
  <c r="G84" i="3"/>
  <c r="G98" i="3"/>
  <c r="E29" i="3"/>
  <c r="G7" i="3"/>
  <c r="F38" i="3"/>
  <c r="F30" i="3"/>
  <c r="E7" i="3"/>
  <c r="F34" i="3"/>
  <c r="E66" i="3"/>
  <c r="G83" i="3"/>
  <c r="G53" i="3"/>
  <c r="F54" i="3"/>
  <c r="E20" i="3"/>
  <c r="F10" i="3"/>
  <c r="H39" i="3"/>
  <c r="E52" i="3"/>
  <c r="F47" i="3"/>
  <c r="E99" i="3"/>
  <c r="H65" i="3"/>
  <c r="E34" i="3"/>
  <c r="G48" i="3"/>
  <c r="G19" i="3"/>
  <c r="H11" i="3"/>
  <c r="H52" i="3"/>
  <c r="H38" i="3"/>
  <c r="G54" i="3"/>
  <c r="G34" i="3"/>
  <c r="G26" i="3"/>
  <c r="G38" i="3"/>
  <c r="H43" i="3"/>
  <c r="G74" i="3"/>
  <c r="F64" i="3"/>
  <c r="E67" i="3"/>
  <c r="G59" i="3"/>
  <c r="F46" i="3"/>
  <c r="G25" i="3"/>
  <c r="H19" i="3"/>
  <c r="F26" i="3"/>
  <c r="G52" i="3"/>
  <c r="H25" i="3"/>
  <c r="E78" i="3"/>
  <c r="A57" i="6" l="1"/>
  <c r="A89" i="6"/>
  <c r="A81" i="6"/>
  <c r="G69" i="3"/>
  <c r="K62" i="6"/>
  <c r="A19" i="6"/>
  <c r="E14" i="3"/>
  <c r="A9" i="4" s="1"/>
  <c r="H45" i="3"/>
  <c r="W16" i="5" s="1"/>
  <c r="M92" i="6"/>
  <c r="H33" i="3"/>
  <c r="W14" i="5" s="1"/>
  <c r="A63" i="6"/>
  <c r="F5" i="3"/>
  <c r="E10" i="6"/>
  <c r="A65" i="6"/>
  <c r="L75" i="6"/>
  <c r="G5" i="3"/>
  <c r="I40" i="6"/>
  <c r="H69" i="3"/>
  <c r="W20" i="5" s="1"/>
  <c r="H22" i="6"/>
  <c r="A51" i="6"/>
  <c r="A53" i="6"/>
  <c r="I39" i="6"/>
  <c r="A58" i="6"/>
  <c r="E45" i="3"/>
  <c r="A15" i="4" s="1"/>
  <c r="H29" i="6"/>
  <c r="K63" i="6"/>
  <c r="A23" i="6"/>
  <c r="A49" i="6"/>
  <c r="J56" i="6"/>
  <c r="A80" i="6"/>
  <c r="I43" i="6"/>
  <c r="A67" i="6"/>
  <c r="H27" i="6"/>
  <c r="H31" i="6"/>
  <c r="E9" i="3"/>
  <c r="A7" i="4" s="1"/>
  <c r="A14" i="6"/>
  <c r="A2" i="5"/>
  <c r="A3" i="4"/>
  <c r="A7" i="6" s="1"/>
  <c r="L78" i="6"/>
  <c r="G33" i="3"/>
  <c r="G19" i="6"/>
  <c r="F14" i="3"/>
  <c r="G10" i="5" s="1"/>
  <c r="I4" i="5" s="1"/>
  <c r="G14" i="3"/>
  <c r="A69" i="6"/>
  <c r="A24" i="6"/>
  <c r="J52" i="6"/>
  <c r="F18" i="3"/>
  <c r="G12" i="5" s="1"/>
  <c r="J4" i="5" s="1"/>
  <c r="H34" i="6"/>
  <c r="A92" i="6"/>
  <c r="L82" i="6"/>
  <c r="F69" i="3"/>
  <c r="G20" i="5" s="1"/>
  <c r="N4" i="5" s="1"/>
  <c r="O102" i="6"/>
  <c r="I37" i="6"/>
  <c r="E11" i="6"/>
  <c r="L79" i="6"/>
  <c r="H28" i="6"/>
  <c r="A93" i="6"/>
  <c r="A41" i="6"/>
  <c r="A25" i="6"/>
  <c r="G9" i="3"/>
  <c r="E69" i="3"/>
  <c r="A19" i="4" s="1"/>
  <c r="A82" i="6"/>
  <c r="M89" i="6"/>
  <c r="G57" i="3"/>
  <c r="E81" i="3"/>
  <c r="A21" i="4" s="1"/>
  <c r="A94" i="6"/>
  <c r="G81" i="3"/>
  <c r="A28" i="6"/>
  <c r="M91" i="6"/>
  <c r="A70" i="6"/>
  <c r="E57" i="3"/>
  <c r="A17" i="4" s="1"/>
  <c r="A56" i="6"/>
  <c r="A15" i="6"/>
  <c r="A43" i="6"/>
  <c r="A64" i="6"/>
  <c r="H81" i="3"/>
  <c r="W22" i="5" s="1"/>
  <c r="A55" i="6"/>
  <c r="H33" i="6"/>
  <c r="I44" i="6"/>
  <c r="A22" i="6"/>
  <c r="I41" i="6"/>
  <c r="H30" i="6"/>
  <c r="M94" i="6"/>
  <c r="F81" i="3"/>
  <c r="G22" i="5" s="1"/>
  <c r="O4" i="5" s="1"/>
  <c r="N97" i="6"/>
  <c r="F93" i="3"/>
  <c r="G24" i="5" s="1"/>
  <c r="P4" i="5" s="1"/>
  <c r="A46" i="6"/>
  <c r="E33" i="3"/>
  <c r="A13" i="4" s="1"/>
  <c r="G45" i="3"/>
  <c r="A40" i="6"/>
  <c r="A85" i="6"/>
  <c r="G97" i="3"/>
  <c r="A42" i="6"/>
  <c r="K66" i="6"/>
  <c r="A38" i="6"/>
  <c r="J54" i="6"/>
  <c r="H24" i="6"/>
  <c r="J57" i="6"/>
  <c r="F45" i="3"/>
  <c r="G16" i="5" s="1"/>
  <c r="L4" i="5" s="1"/>
  <c r="J58" i="6"/>
  <c r="A54" i="6"/>
  <c r="K69" i="6"/>
  <c r="J51" i="6"/>
  <c r="J55" i="6"/>
  <c r="A68" i="6"/>
  <c r="A31" i="6"/>
  <c r="A87" i="6"/>
  <c r="A75" i="6"/>
  <c r="H93" i="3"/>
  <c r="W24" i="5" s="1"/>
  <c r="A97" i="6"/>
  <c r="E93" i="3"/>
  <c r="A23" i="4" s="1"/>
  <c r="A73" i="6"/>
  <c r="A102" i="6"/>
  <c r="K61" i="6"/>
  <c r="A33" i="6"/>
  <c r="K65" i="6"/>
  <c r="A88" i="6"/>
  <c r="E5" i="3"/>
  <c r="A5" i="4" s="1"/>
  <c r="A10" i="6"/>
  <c r="M93" i="6"/>
  <c r="A32" i="6"/>
  <c r="L77" i="6"/>
  <c r="L74" i="6"/>
  <c r="F15" i="6"/>
  <c r="U4" i="5"/>
  <c r="U3" i="5" s="1"/>
  <c r="H97" i="3"/>
  <c r="W26" i="5" s="1"/>
  <c r="M86" i="6"/>
  <c r="M85" i="6"/>
  <c r="A66" i="6"/>
  <c r="J53" i="6"/>
  <c r="A39" i="6"/>
  <c r="I45" i="6"/>
  <c r="H26" i="6"/>
  <c r="M87" i="6"/>
  <c r="A62" i="6"/>
  <c r="A50" i="6"/>
  <c r="L76" i="6"/>
  <c r="G93" i="3"/>
  <c r="A37" i="6"/>
  <c r="A45" i="6"/>
  <c r="K68" i="6"/>
  <c r="A61" i="6"/>
  <c r="H25" i="6"/>
  <c r="M88" i="6"/>
  <c r="A79" i="6"/>
  <c r="A29" i="6"/>
  <c r="H14" i="3"/>
  <c r="W10" i="5" s="1"/>
  <c r="E18" i="3"/>
  <c r="A11" i="4" s="1"/>
  <c r="A34" i="6"/>
  <c r="H5" i="3"/>
  <c r="W6" i="5" s="1"/>
  <c r="A76" i="6"/>
  <c r="K70" i="6"/>
  <c r="F57" i="3"/>
  <c r="G18" i="5" s="1"/>
  <c r="M4" i="5" s="1"/>
  <c r="L81" i="6"/>
  <c r="A77" i="6"/>
  <c r="A11" i="6"/>
  <c r="H9" i="3"/>
  <c r="W8" i="5" s="1"/>
  <c r="A101" i="6"/>
  <c r="E97" i="3"/>
  <c r="A25" i="4" s="1"/>
  <c r="A74" i="6"/>
  <c r="A27" i="6"/>
  <c r="H18" i="3"/>
  <c r="W12" i="5" s="1"/>
  <c r="M90" i="6"/>
  <c r="F14" i="6"/>
  <c r="F9" i="3"/>
  <c r="G8" i="5" s="1"/>
  <c r="H4" i="5" s="1"/>
  <c r="K67" i="6"/>
  <c r="A30" i="6"/>
  <c r="F16" i="6"/>
  <c r="L73" i="6"/>
  <c r="H32" i="6"/>
  <c r="A16" i="6"/>
  <c r="A86" i="6"/>
  <c r="A90" i="6"/>
  <c r="J50" i="6"/>
  <c r="L80" i="6"/>
  <c r="A26" i="6"/>
  <c r="I38" i="6"/>
  <c r="H23" i="6"/>
  <c r="A52" i="6"/>
  <c r="A44" i="6"/>
  <c r="I46" i="6"/>
  <c r="F33" i="3"/>
  <c r="G14" i="5" s="1"/>
  <c r="K4" i="5" s="1"/>
  <c r="G18" i="3"/>
  <c r="H57" i="3"/>
  <c r="W18" i="5" s="1"/>
  <c r="I42" i="6"/>
  <c r="K64" i="6"/>
  <c r="J49" i="6"/>
  <c r="A78" i="6"/>
  <c r="A91" i="6"/>
  <c r="F97" i="3"/>
  <c r="G26" i="5" s="1"/>
  <c r="Q4" i="5" s="1"/>
  <c r="O101" i="6"/>
  <c r="G6" i="5" l="1"/>
  <c r="G4" i="5" s="1"/>
  <c r="E4" i="3"/>
  <c r="A2" i="4" s="1"/>
</calcChain>
</file>

<file path=xl/sharedStrings.xml><?xml version="1.0" encoding="utf-8"?>
<sst xmlns="http://schemas.openxmlformats.org/spreadsheetml/2006/main" count="1214" uniqueCount="203">
  <si>
    <t>Languages</t>
  </si>
  <si>
    <t>En</t>
  </si>
  <si>
    <t>Pt</t>
  </si>
  <si>
    <t>Model Type</t>
  </si>
  <si>
    <t>Modelo</t>
  </si>
  <si>
    <t>English</t>
  </si>
  <si>
    <t>Português</t>
  </si>
  <si>
    <t>Not installed</t>
  </si>
  <si>
    <t>Não instalado</t>
  </si>
  <si>
    <t>Firmware Version</t>
  </si>
  <si>
    <t>Hardware Design Suffix</t>
  </si>
  <si>
    <t>Issue</t>
  </si>
  <si>
    <t>Emissão</t>
  </si>
  <si>
    <t>Language Selection</t>
  </si>
  <si>
    <t>Seleção de idioma</t>
  </si>
  <si>
    <t xml:space="preserve">Our policy is one of continuous development. Accordingly the design of our products may change at any time. </t>
  </si>
  <si>
    <t>Nossa política é de desenvolvimento contínuo. Portanto o projeto de nossos produtos pode mudar a qualquer momento.</t>
  </si>
  <si>
    <t>Whilst every effort is made to produce up to date literature, this document should only be regarded as a guide and is intended for information purposes only.</t>
  </si>
  <si>
    <t xml:space="preserve">Embora sejam demandados esforços para manter a documentação atualizada, este documento deve ser visto como um guia e destina-se apenas para fins informativos. </t>
  </si>
  <si>
    <t>Its contents do not constitute an offer for sale or advice on the application of any product referred to in it. We cannot be held responsible for any reliance on any decisions taken on its contents without specific advice.</t>
  </si>
  <si>
    <t>Seu conteúdo não constitui uma proposta para venda ou recomendação sobre a aplicação de qualquer produto nele mencionado. Nós não podemos ser responsabilizados por quaisquer consequências em decisões tomadas sobre o seu conteúdo, sem recomendações específicas.</t>
  </si>
  <si>
    <t>Information required with Order</t>
  </si>
  <si>
    <t>Informações requeridas para o pedido</t>
  </si>
  <si>
    <t>Variants</t>
  </si>
  <si>
    <t>Variantes</t>
  </si>
  <si>
    <t>Order Number</t>
  </si>
  <si>
    <t>A</t>
  </si>
  <si>
    <t>B</t>
  </si>
  <si>
    <t>X</t>
  </si>
  <si>
    <t>C</t>
  </si>
  <si>
    <t>D</t>
  </si>
  <si>
    <t>01</t>
  </si>
  <si>
    <t>Base date</t>
  </si>
  <si>
    <t>Date Drivers start reference</t>
  </si>
  <si>
    <t>Date Drivers finish reference</t>
  </si>
  <si>
    <t>Pos</t>
  </si>
  <si>
    <t>Description</t>
  </si>
  <si>
    <t>Option</t>
  </si>
  <si>
    <t>Option Des</t>
  </si>
  <si>
    <t>Avail.</t>
  </si>
  <si>
    <t>Y</t>
  </si>
  <si>
    <t>E</t>
  </si>
  <si>
    <t>F</t>
  </si>
  <si>
    <t>H</t>
  </si>
  <si>
    <t>Cost</t>
  </si>
  <si>
    <t>Power Supply 1</t>
  </si>
  <si>
    <t>Fonte de Alimentação 1</t>
  </si>
  <si>
    <t>Power Supply 2</t>
  </si>
  <si>
    <t>Fonte de Alimentação 2</t>
  </si>
  <si>
    <t>Interface Module 1</t>
  </si>
  <si>
    <t>Módulo de Interface 1</t>
  </si>
  <si>
    <t>Interface Module 2</t>
  </si>
  <si>
    <t>Interface Module 3</t>
  </si>
  <si>
    <t>Interface Module 4</t>
  </si>
  <si>
    <t>Interface Module 5</t>
  </si>
  <si>
    <t>Módulo de Interface 2</t>
  </si>
  <si>
    <t>Módulo de Interface 3</t>
  </si>
  <si>
    <t>Módulo de Interface 4</t>
  </si>
  <si>
    <t>Módulo de Interface 5</t>
  </si>
  <si>
    <t>PTP Support</t>
  </si>
  <si>
    <t>Suporte a PTP</t>
  </si>
  <si>
    <t>With PTP (IEEE 1588) support</t>
  </si>
  <si>
    <t>Without PTP (IEEE 1588) support</t>
  </si>
  <si>
    <t>Com suporte a PTP (IEEE 1588)</t>
  </si>
  <si>
    <t>Sem suporte a PTP (IEEE 1588)</t>
  </si>
  <si>
    <t>Original created</t>
  </si>
  <si>
    <t>Removed module option R on Interface 3</t>
  </si>
  <si>
    <t>Removido módulo opção R na interface 3</t>
  </si>
  <si>
    <t>Four slots for SFP transceivers</t>
  </si>
  <si>
    <t>Four 1 Gbps LC-type connector multi mode fiber 1000BASE-SX Ethernet for up to 0.5 km</t>
  </si>
  <si>
    <t>Four 1 Gbps LC-type connector single mode fiber 1000BASE-LX Ethernet for up to 10 km</t>
  </si>
  <si>
    <t>Four 1 Gbps LC-type connector single mode fiber 1000BASE-ZX Ethernet for up to 40 km</t>
  </si>
  <si>
    <t>Four 1 Gbps LC-type connector single mode fiber 1000BASE-ZX Ethernet for up to 80 km</t>
  </si>
  <si>
    <t>Four 100 Mbps LC-type connector multi mode fiber 100BASE-FX Ethernet for up to 2 km</t>
  </si>
  <si>
    <t>Quatro portas ethernet para até 10 km 1 Gbps 1000BASE-LX conector fibra monomodo LC</t>
  </si>
  <si>
    <t>Quatro portas ethernet para até 2 km 100 Mbps 100BASE-FX conector fibra multimodo LC</t>
  </si>
  <si>
    <t>Four RJ45 copper 10/100BASE-TX</t>
  </si>
  <si>
    <t>Quatro portas ethernet 10/100/BASE-TX conector elétrico RJ45</t>
  </si>
  <si>
    <t>Mounting Options</t>
  </si>
  <si>
    <t>Opção de Montagem</t>
  </si>
  <si>
    <t>DIN rail mounting</t>
  </si>
  <si>
    <t>Montagem em trilho DIN</t>
  </si>
  <si>
    <t>P</t>
  </si>
  <si>
    <t>AL</t>
  </si>
  <si>
    <t/>
  </si>
  <si>
    <t>Alternate hardware release</t>
  </si>
  <si>
    <t>Versão de hardware alternada</t>
  </si>
  <si>
    <t>Standard hardware release</t>
  </si>
  <si>
    <t>Modular Managed Ethernet Switch</t>
  </si>
  <si>
    <t>Switch Ethernet Gerenciável modular</t>
  </si>
  <si>
    <t>Montagem em rack 19" /  Montagem posterior</t>
  </si>
  <si>
    <t>19” Rack Mount / Rear Mount</t>
  </si>
  <si>
    <t>24-48 Vdc</t>
  </si>
  <si>
    <t>24-48 Vcc</t>
  </si>
  <si>
    <t>Incluído a opção da fonte de 24-48 Vcc</t>
  </si>
  <si>
    <t>24-48 Vdc power supply option included</t>
  </si>
  <si>
    <t>100-250 Vdc / 110-240 Vac</t>
  </si>
  <si>
    <t>Orders on request</t>
  </si>
  <si>
    <t>Venda sob-consulta</t>
  </si>
  <si>
    <t>Material Cost</t>
  </si>
  <si>
    <t>Custo de Material</t>
  </si>
  <si>
    <t>Chassis</t>
  </si>
  <si>
    <t>Base date:</t>
  </si>
  <si>
    <t>Key date:</t>
  </si>
  <si>
    <t>CORTEC</t>
  </si>
  <si>
    <t>Versão de Firmware</t>
  </si>
  <si>
    <t>Sufixo Designador do Hardware</t>
  </si>
  <si>
    <t>Versão de hardware padrão</t>
  </si>
  <si>
    <t>Criado Originalmente</t>
  </si>
  <si>
    <t>Informações requeridas para o pedido:</t>
  </si>
  <si>
    <t>S2024G</t>
  </si>
  <si>
    <t>Interface Module 6</t>
  </si>
  <si>
    <t>Módulo de Interface 6</t>
  </si>
  <si>
    <t>Four 1 Gbps RJ45 copper 10/100BASE-TX/1000BASE-T Ethernet ports</t>
  </si>
  <si>
    <t>J</t>
  </si>
  <si>
    <t>16-17</t>
  </si>
  <si>
    <t>18-19</t>
  </si>
  <si>
    <t>K</t>
  </si>
  <si>
    <t>L</t>
  </si>
  <si>
    <t>M</t>
  </si>
  <si>
    <t>I</t>
  </si>
  <si>
    <t>04</t>
  </si>
  <si>
    <t>Quatro portas ethernet 10/100BASE-TX/1000BASE-T conector elétrico RJ45</t>
  </si>
  <si>
    <t>Quatro slots SFP para transceptores</t>
  </si>
  <si>
    <t>1-6</t>
  </si>
  <si>
    <t>Two 1 Gbps RJ45 SFP Transceivers 10/100BASE-TX/1000BASE-T Ethernet ports + Two 1 Gbps LC-type connector multi mode fiber 1000BASE-SX Ethernet for up to 0.5 km</t>
  </si>
  <si>
    <t>Two 1 Gbps RJ45 SFP Transceivers 10/100BASE-TX/1000BASE-T Ethernet ports + Two 100 Mbps LC-type connector multi mode fiber 100BASE-FX Ethernet for up to 2 km</t>
  </si>
  <si>
    <t>Duas portas ethernet 10/100BASE-TX/1000BASE-T transceptor SFP RJ45 + Duas portas ethernet para até 2 km 100 Mbps 100BASE-FX conector fibra multimodo LC</t>
  </si>
  <si>
    <t>Two 1 Gbps LC-type connector multi mode fiber 1000BASE-SX Ethernet for up to 0.5 km + Two 100 Mbps LC-type connector multi mode fiber 100BASE-FX Ethernet for up to 2 km</t>
  </si>
  <si>
    <t>Module J, K, L, M Options included and update firmware version to 04</t>
  </si>
  <si>
    <t>Incluído novas opções de módulos J, K, L e M. Atualizado a versão de firmware para 04.</t>
  </si>
  <si>
    <t>BL</t>
  </si>
  <si>
    <t>Corrigido o sufixo designador de hardware para B</t>
  </si>
  <si>
    <t>Amended hardware design suffix to B</t>
  </si>
  <si>
    <t>New firmware and GE branding</t>
  </si>
  <si>
    <t>Novo firmware e marca GE</t>
  </si>
  <si>
    <t>Latest available firmware</t>
  </si>
  <si>
    <t>Última versão disponível</t>
  </si>
  <si>
    <t>Firmware version number</t>
  </si>
  <si>
    <t>Número da versão do firmware</t>
  </si>
  <si>
    <t>05</t>
  </si>
  <si>
    <t>Four 1 Gbps RJ45 SFP Transceivers 10/100BASE-TX/1000BASE-T Ethernet ports (Not CE marked)</t>
  </si>
  <si>
    <t>Quatro portas ethernet 10/100BASE-TX/1000BASE-T transceptor SFP RJ45 (Sem certificação CE)</t>
  </si>
  <si>
    <t>N</t>
  </si>
  <si>
    <t>SFP1GCU01K</t>
  </si>
  <si>
    <t>SFP Transceiver 10/100/1000Mbps, RJ45 connector</t>
  </si>
  <si>
    <t>SFP1GFO10K</t>
  </si>
  <si>
    <t>SFP1GFO40K</t>
  </si>
  <si>
    <t>SFP1GFO80K</t>
  </si>
  <si>
    <t>SFP1GFO05K</t>
  </si>
  <si>
    <t>SFP01GFO2K</t>
  </si>
  <si>
    <t>Removed firmware version 04, included the Accessories tab</t>
  </si>
  <si>
    <t>Removido a versão de firmware 04, incluido a aba de Acessórios</t>
  </si>
  <si>
    <t>Accessories</t>
  </si>
  <si>
    <t>Acessórios</t>
  </si>
  <si>
    <t>Code</t>
  </si>
  <si>
    <t>Código</t>
  </si>
  <si>
    <t>Descrição</t>
  </si>
  <si>
    <t>Transceptor SFP de 10/100/1000Mbps, conector elétrico RJ45</t>
  </si>
  <si>
    <t>SFP Transceiver 1000Mbps LC single mode, 1310nm wavelength, 10km</t>
  </si>
  <si>
    <t>Transceptor SFP de 1000Mbps, conector fibra monomodo LC, 1310nm, 10km</t>
  </si>
  <si>
    <t>SFP Transceiver 1000Mbps LC single mode, 1310nm wavelength, 40km</t>
  </si>
  <si>
    <t>Transceptor SFP de 1000Mbps, conector fibra monomodo LC, 1310nm, 40km</t>
  </si>
  <si>
    <t>SFP Transceiver 1000Mbps LC single mode, 1550nm wavelength, 80km</t>
  </si>
  <si>
    <t>Transceptor SFP de 1000Mbps, conector fibra monomodo LC, 1550nm, 80km</t>
  </si>
  <si>
    <t>SFP Transceiver 1000Mbps LC multi mode, 850nm wavelength, 500m</t>
  </si>
  <si>
    <t>Transceptor SFP de 1000Mbps, conector fibra multimodo LC, 850nm, 500m</t>
  </si>
  <si>
    <t>SFP Transceiver 100Mbps LC multi mode, 1310nm wavelength, 2km</t>
  </si>
  <si>
    <t>Transceptor SFP de 100Mbps, conector fibra multimodo LC, 1310nm, 2km</t>
  </si>
  <si>
    <t>Duas portas ethernet para até 0,5 km 1 Gbps 1000BASE-SX conector fibra multimodo LC + Duas portas ethernet para até 2 km 100 Mbps 100BASE-FX conector fibra multimodo LC</t>
  </si>
  <si>
    <t>Duas portas ethernet 10/100BASE-TX/1000BASE-T transceptor SFP RJ45 + Duas portas ethernet para até 0,5 km 1 Gbps 1000BASE-SX conector fibra multimodo LC</t>
  </si>
  <si>
    <t>Quatro portas ethernet para até 0,5 km 1 Gbps 1000BASE-SX conector fibra multimodo LC</t>
  </si>
  <si>
    <t>Quatro portas ethernet para até 40 km 1 Gbps 1000BASE-ZX conector fibra monomodo LC</t>
  </si>
  <si>
    <t>Quatro portas ethernet para até 80 km 1 Gbps 1000BASE-ZX conector fibra monomodo LC</t>
  </si>
  <si>
    <t>SFP Transceiver 1000Mbps LC single mode, 1550nm wavelength, 120km </t>
  </si>
  <si>
    <t>Transceptor SFP de 1000Mbps, conector fibra monomodo LC, 1550nm, 120km</t>
  </si>
  <si>
    <t>Added firmware version 06 and included the 1 Gbps SFP for 120km as accessory</t>
  </si>
  <si>
    <t>Adicionada a versão de firmware 06 e incluído o SFP 1 Gbps para 120 km como acessório</t>
  </si>
  <si>
    <t>06</t>
  </si>
  <si>
    <t>SFP1GFO120K</t>
  </si>
  <si>
    <t>Alternate hardware release (Withdraw)</t>
  </si>
  <si>
    <t>Versão de hardware alternada (Obsoleto)</t>
  </si>
  <si>
    <r>
      <t xml:space="preserve">Four 1 Gbps RJ45 SFP Transceivers 10/100BASE-TX/1000BASE-T Ethernet ports </t>
    </r>
    <r>
      <rPr>
        <b/>
        <sz val="9"/>
        <color theme="1"/>
        <rFont val="Arial"/>
        <family val="2"/>
      </rPr>
      <t>(Not CE marked) (Withdraw)</t>
    </r>
  </si>
  <si>
    <r>
      <t xml:space="preserve">Quatro portas ethernet 10/100BASE-TX/1000BASE-T transceptor SFP RJ45 </t>
    </r>
    <r>
      <rPr>
        <b/>
        <sz val="9"/>
        <color theme="1"/>
        <rFont val="Arial"/>
        <family val="2"/>
      </rPr>
      <t>(Sem certificação CE) (Obsoleto)</t>
    </r>
  </si>
  <si>
    <t>Two 1 Gbps RJ45 SFP Transceivers 10/100BASE-TX/1000BASE-T Ethernet ports + Two 1 Gbps LC-type connector multi mode fiber 1000BASE-SX Ethernet for up to 0.5 km  (Withdraw)</t>
  </si>
  <si>
    <t>Duas portas ethernet 10/100BASE-TX/1000BASE-T transceptor SFP RJ45 + Duas portas ethernet para até 0,5 km 1 Gbps 1000BASE-SX conector fibra multimodo LC (Obsoleto)</t>
  </si>
  <si>
    <t>Two 1 Gbps RJ45 SFP Transceivers 10/100BASE-TX/1000BASE-T Ethernet ports + Two 100 Mbps LC-type connector multi mode fiber 100BASE-FX Ethernet for up to 2 km (Withdraw)</t>
  </si>
  <si>
    <t>Duas portas ethernet 10/100BASE-TX/1000BASE-T transceptor SFP RJ45 + Duas portas ethernet para até 2 km 100 Mbps 100BASE-FX conector fibra multimodo LC (Obsoleto)</t>
  </si>
  <si>
    <t>Not installed (Withdraw)</t>
  </si>
  <si>
    <t>Não instalado (Obsoleto)</t>
  </si>
  <si>
    <t>F ver2</t>
  </si>
  <si>
    <t>SFP1GCU02K</t>
  </si>
  <si>
    <t>SFP Transceiver 10/100/1000Mbps, RJ45 connector, not CE Market (Withdraw)</t>
  </si>
  <si>
    <t>Transceptor SFP de 10/100/1000Mbps, conector elétrico RJ45, sem certificação CE (Obsoleto)</t>
  </si>
  <si>
    <t>Firmware 05 and 06 have been withdrawn as per GE Publication No. GER-4820 and GER-4844.</t>
  </si>
  <si>
    <t>Firmware 05 e 06 estão obsoletos de acordo com a Publicação GE nº GER-4820 e GER-4844.</t>
  </si>
  <si>
    <t>This Cortec file has be superseded by the S20 Cortec File; please reference the S20 Cortec file for your current ordering needs.</t>
  </si>
  <si>
    <t>Este arquivo de Cortec foi substituído pelo arquivo "S20 Cortec"; por favor, consulte o arquivo "S20 Cortec" para suas necessidades atuais de pedidos.</t>
  </si>
  <si>
    <t>THIS CORTEC FILE HAS BEEN REPLACED BY THE S20 CORTEC FILE</t>
  </si>
  <si>
    <t>ESTE ARQUIVO DE CORTEC FOI SUBSTITUÍDO PELO ARQUIVO "CORTEC S20"</t>
  </si>
  <si>
    <t>Multiple withdraws: Interface Module options J, K &amp; L (refer to GER-4844) and alternate hardware (BL) / Transceiver SFP1GCU01K replaced by SFP1GCU02K</t>
  </si>
  <si>
    <t>Multiplas obsolescências: Opções de interface J, K &amp; L (ver GER-4844) e versão de hardware alternada (BL) / Transceptor SFP1GCU01K substituido por SFP1GCU02K</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</si>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</sst>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9"/>
      <color indexed="8"/>
      <name val="Arial"/>
      <family val="2"/>
    </font>
    <font>
      <b/>
      <sz val="9"/>
      <color indexed="10"/>
      <name val="Arial"/>
      <family val="2"/>
    </font>
    <font>
      <b/>
      <sz val="9"/>
      <color indexed="8"/>
      <name val="Arial"/>
      <family val="2"/>
    </font>
    <font>
      <sz val="9"/>
      <name val="Arial"/>
      <family val="2"/>
    </font>
    <font>
      <b/>
      <sz val="14"/>
      <color indexed="8"/>
      <name val="Arial"/>
      <family val="2"/>
    </font>
    <font>
      <sz val="11"/>
      <color indexed="8"/>
      <name val="Arial"/>
      <family val="2"/>
    </font>
    <font>
      <sz val="10"/>
      <color indexed="8"/>
      <name val="Arial"/>
      <family val="2"/>
    </font>
    <font>
      <sz val="12"/>
      <color indexed="8"/>
      <name val="Arial"/>
      <family val="2"/>
    </font>
    <font>
      <sz val="14"/>
      <color indexed="8"/>
      <name val="Arial"/>
      <family val="2"/>
    </font>
    <font>
      <b/>
      <sz val="14"/>
      <color indexed="10"/>
      <name val="Arial"/>
      <family val="2"/>
    </font>
    <font>
      <b/>
      <sz val="12"/>
      <color indexed="12"/>
      <name val="Arial"/>
      <family val="2"/>
    </font>
    <font>
      <sz val="11"/>
      <color indexed="30"/>
      <name val="Arial"/>
      <family val="2"/>
    </font>
    <font>
      <sz val="10"/>
      <name val="Arial"/>
      <family val="2"/>
    </font>
    <font>
      <sz val="10"/>
      <color indexed="9"/>
      <name val="Arial"/>
      <family val="2"/>
    </font>
    <font>
      <b/>
      <sz val="10"/>
      <name val="Arial"/>
      <family val="2"/>
    </font>
    <font>
      <sz val="11"/>
      <name val="Arial"/>
      <family val="2"/>
    </font>
    <font>
      <sz val="9"/>
      <color theme="1"/>
      <name val="Arial"/>
      <family val="2"/>
    </font>
    <font>
      <sz val="11"/>
      <color theme="1"/>
      <name val="Arial"/>
      <family val="2"/>
    </font>
    <font>
      <b/>
      <sz val="16"/>
      <color rgb="FFFF0000"/>
      <name val="Arial"/>
      <family val="2"/>
    </font>
    <font>
      <b/>
      <sz val="12"/>
      <color rgb="FFFF0000"/>
      <name val="Arial"/>
      <family val="2"/>
    </font>
    <font>
      <b/>
      <sz val="11"/>
      <color theme="1"/>
      <name val="Arial"/>
      <family val="2"/>
    </font>
    <font>
      <sz val="11"/>
      <color rgb="FFFF0000"/>
      <name val="Arial"/>
      <family val="2"/>
    </font>
    <font>
      <b/>
      <sz val="10"/>
      <color theme="1"/>
      <name val="Arial"/>
      <family val="2"/>
    </font>
    <font>
      <sz val="10"/>
      <color theme="1"/>
      <name val="Arial"/>
      <family val="2"/>
    </font>
    <font>
      <b/>
      <sz val="9"/>
      <color theme="0"/>
      <name val="Arial"/>
      <family val="2"/>
    </font>
    <font>
      <b/>
      <sz val="9"/>
      <color rgb="FFFF0000"/>
      <name val="Arial"/>
      <family val="2"/>
    </font>
    <font>
      <b/>
      <sz val="9"/>
      <color theme="1"/>
      <name val="Arial"/>
      <family val="2"/>
    </font>
    <font>
      <sz val="10"/>
      <name val="GE Inspira"/>
      <family val="2"/>
    </font>
    <font>
      <sz val="11"/>
      <color theme="1"/>
      <name val="GE Inspira"/>
      <family val="2"/>
    </font>
    <font>
      <b/>
      <sz val="11"/>
      <color indexed="9"/>
      <name val="Arial"/>
      <family val="2"/>
    </font>
    <font>
      <sz val="11"/>
      <color indexed="9"/>
      <name val="Arial"/>
      <family val="2"/>
    </font>
    <font>
      <sz val="11"/>
      <color theme="0"/>
      <name val="Arial"/>
      <family val="2"/>
    </font>
  </fonts>
  <fills count="16">
    <fill>
      <patternFill patternType="none"/>
    </fill>
    <fill>
      <patternFill patternType="gray125"/>
    </fill>
    <fill>
      <patternFill patternType="solid">
        <fgColor indexed="55"/>
        <bgColor indexed="64"/>
      </patternFill>
    </fill>
    <fill>
      <patternFill patternType="solid">
        <fgColor indexed="8"/>
        <bgColor indexed="64"/>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rgb="FFFFFF00"/>
        <bgColor indexed="64"/>
      </patternFill>
    </fill>
    <fill>
      <patternFill patternType="solid">
        <fgColor theme="0" tint="-0.249977111117893"/>
        <bgColor indexed="64"/>
      </patternFill>
    </fill>
    <fill>
      <patternFill patternType="solid">
        <fgColor rgb="FF969696"/>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1"/>
        <bgColor indexed="64"/>
      </patternFill>
    </fill>
    <fill>
      <patternFill patternType="solid">
        <fgColor theme="1" tint="0.499984740745262"/>
        <bgColor indexed="64"/>
      </patternFill>
    </fill>
    <fill>
      <patternFill patternType="solid">
        <fgColor theme="0"/>
        <bgColor indexed="64"/>
      </patternFill>
    </fill>
    <fill>
      <patternFill patternType="solid">
        <fgColor theme="4"/>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ck">
        <color indexed="64"/>
      </left>
      <right/>
      <top/>
      <bottom/>
      <diagonal/>
    </border>
    <border>
      <left style="medium">
        <color indexed="64"/>
      </left>
      <right style="thick">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indexed="10"/>
      </left>
      <right/>
      <top/>
      <bottom/>
      <diagonal/>
    </border>
    <border>
      <left/>
      <right style="thick">
        <color indexed="10"/>
      </right>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s>
  <cellStyleXfs count="3">
    <xf numFmtId="0" fontId="0" fillId="0" borderId="0"/>
    <xf numFmtId="0" fontId="13" fillId="0" borderId="0"/>
    <xf numFmtId="0" fontId="16" fillId="0" borderId="0"/>
  </cellStyleXfs>
  <cellXfs count="298">
    <xf numFmtId="0" fontId="0" fillId="0" borderId="0" xfId="0"/>
    <xf numFmtId="0" fontId="17" fillId="0" borderId="0" xfId="0" applyFont="1" applyAlignment="1">
      <alignment horizontal="center" vertical="center"/>
    </xf>
    <xf numFmtId="0" fontId="17" fillId="0" borderId="0" xfId="0" applyFont="1"/>
    <xf numFmtId="0" fontId="17" fillId="0" borderId="0" xfId="0" applyFont="1" applyAlignment="1">
      <alignment horizontal="center"/>
    </xf>
    <xf numFmtId="0" fontId="17" fillId="0" borderId="0" xfId="0" applyFont="1" applyAlignment="1">
      <alignment wrapText="1"/>
    </xf>
    <xf numFmtId="0" fontId="17" fillId="7" borderId="1" xfId="0" applyFont="1" applyFill="1" applyBorder="1" applyAlignment="1">
      <alignment horizontal="center" vertical="center"/>
    </xf>
    <xf numFmtId="0" fontId="17" fillId="7" borderId="2" xfId="0" applyFont="1" applyFill="1" applyBorder="1"/>
    <xf numFmtId="0" fontId="17" fillId="7" borderId="1" xfId="0" applyFont="1" applyFill="1" applyBorder="1" applyAlignment="1">
      <alignment horizontal="center"/>
    </xf>
    <xf numFmtId="0" fontId="17" fillId="0" borderId="0" xfId="0" applyFont="1" applyBorder="1"/>
    <xf numFmtId="0" fontId="17" fillId="0" borderId="3" xfId="0" applyFont="1" applyBorder="1" applyAlignment="1">
      <alignment horizontal="center" vertical="center"/>
    </xf>
    <xf numFmtId="0" fontId="17" fillId="0" borderId="3" xfId="0" applyFont="1" applyBorder="1" applyAlignment="1">
      <alignment horizontal="center"/>
    </xf>
    <xf numFmtId="0" fontId="17" fillId="0" borderId="4" xfId="0" applyFont="1" applyBorder="1" applyAlignment="1">
      <alignment horizontal="center" vertical="center"/>
    </xf>
    <xf numFmtId="0" fontId="17" fillId="0" borderId="5" xfId="0" applyFont="1" applyBorder="1"/>
    <xf numFmtId="0" fontId="17" fillId="0" borderId="4" xfId="0" applyFont="1" applyBorder="1" applyAlignment="1">
      <alignment horizontal="center"/>
    </xf>
    <xf numFmtId="0" fontId="17" fillId="0" borderId="0" xfId="0" applyFont="1" applyAlignment="1">
      <alignment vertical="center" wrapText="1"/>
    </xf>
    <xf numFmtId="0" fontId="1" fillId="0" borderId="0" xfId="0" applyFont="1"/>
    <xf numFmtId="0" fontId="3" fillId="0" borderId="6" xfId="0" applyFont="1" applyBorder="1"/>
    <xf numFmtId="0" fontId="3" fillId="0" borderId="0" xfId="0" applyFont="1" applyBorder="1"/>
    <xf numFmtId="0" fontId="1" fillId="0" borderId="5" xfId="0" applyFont="1" applyBorder="1"/>
    <xf numFmtId="0" fontId="1" fillId="0" borderId="0" xfId="0" applyFont="1" applyAlignment="1">
      <alignment horizontal="center" vertical="center"/>
    </xf>
    <xf numFmtId="0" fontId="1" fillId="0" borderId="1" xfId="0" applyFont="1" applyBorder="1" applyAlignment="1">
      <alignment horizontal="center"/>
    </xf>
    <xf numFmtId="0" fontId="1" fillId="0" borderId="0" xfId="0" applyFont="1" applyAlignment="1">
      <alignment horizontal="center"/>
    </xf>
    <xf numFmtId="0" fontId="1" fillId="0" borderId="0" xfId="0" applyFont="1" applyBorder="1"/>
    <xf numFmtId="0" fontId="3" fillId="0" borderId="5" xfId="0" applyFont="1" applyBorder="1"/>
    <xf numFmtId="0" fontId="18" fillId="0" borderId="0" xfId="0" applyFont="1"/>
    <xf numFmtId="0" fontId="6" fillId="0" borderId="7" xfId="0" applyFont="1" applyBorder="1"/>
    <xf numFmtId="0" fontId="6" fillId="0" borderId="7" xfId="0" applyFont="1" applyBorder="1" applyAlignment="1">
      <alignment horizontal="center" vertical="center"/>
    </xf>
    <xf numFmtId="0" fontId="6" fillId="0" borderId="8" xfId="0" applyFont="1" applyBorder="1"/>
    <xf numFmtId="0" fontId="6" fillId="0" borderId="0" xfId="0" applyFont="1"/>
    <xf numFmtId="0" fontId="6" fillId="0" borderId="9" xfId="0" applyFont="1" applyBorder="1"/>
    <xf numFmtId="0" fontId="6" fillId="0" borderId="2" xfId="0" applyFont="1" applyBorder="1"/>
    <xf numFmtId="0" fontId="6" fillId="0" borderId="10" xfId="0" applyFont="1" applyBorder="1"/>
    <xf numFmtId="0" fontId="8" fillId="0" borderId="9" xfId="0" applyFont="1" applyBorder="1"/>
    <xf numFmtId="0" fontId="9" fillId="0" borderId="2" xfId="0" applyFont="1" applyBorder="1"/>
    <xf numFmtId="0" fontId="9" fillId="0" borderId="11" xfId="0" applyFont="1" applyBorder="1"/>
    <xf numFmtId="0" fontId="10" fillId="0" borderId="1" xfId="0" applyFont="1" applyBorder="1" applyAlignment="1">
      <alignment horizontal="center" vertical="center"/>
    </xf>
    <xf numFmtId="0" fontId="8" fillId="0" borderId="10" xfId="0" applyFont="1" applyBorder="1"/>
    <xf numFmtId="0" fontId="8" fillId="0" borderId="0" xfId="0" applyFont="1"/>
    <xf numFmtId="0" fontId="11" fillId="0" borderId="12" xfId="0" applyFont="1" applyBorder="1" applyAlignment="1">
      <alignment vertical="center"/>
    </xf>
    <xf numFmtId="0" fontId="9" fillId="0" borderId="0" xfId="0" applyFont="1" applyBorder="1"/>
    <xf numFmtId="0" fontId="5" fillId="0" borderId="0" xfId="0" applyFont="1" applyBorder="1"/>
    <xf numFmtId="0" fontId="6" fillId="8" borderId="13" xfId="0" applyFont="1" applyFill="1" applyBorder="1" applyAlignment="1">
      <alignment horizontal="center" vertical="center"/>
    </xf>
    <xf numFmtId="0" fontId="8" fillId="0" borderId="12" xfId="0" applyFont="1" applyBorder="1"/>
    <xf numFmtId="0" fontId="11" fillId="0" borderId="14" xfId="0" applyFont="1" applyBorder="1"/>
    <xf numFmtId="0" fontId="6" fillId="0" borderId="0" xfId="0" applyFont="1" applyBorder="1"/>
    <xf numFmtId="0" fontId="6" fillId="8" borderId="0" xfId="0" applyFont="1" applyFill="1" applyBorder="1" applyAlignment="1">
      <alignment horizontal="center" vertical="center"/>
    </xf>
    <xf numFmtId="0" fontId="6" fillId="0" borderId="12" xfId="0" applyFont="1" applyBorder="1"/>
    <xf numFmtId="0" fontId="12" fillId="0" borderId="0" xfId="0" applyFont="1" applyBorder="1"/>
    <xf numFmtId="0" fontId="6" fillId="8" borderId="4" xfId="0" applyFont="1" applyFill="1" applyBorder="1" applyAlignment="1">
      <alignment horizontal="center" vertical="center"/>
    </xf>
    <xf numFmtId="0" fontId="11" fillId="0" borderId="15" xfId="0" applyFont="1" applyBorder="1" applyAlignment="1">
      <alignment vertical="center"/>
    </xf>
    <xf numFmtId="0" fontId="11" fillId="0" borderId="14" xfId="0" applyFont="1" applyBorder="1" applyAlignment="1">
      <alignment vertical="center"/>
    </xf>
    <xf numFmtId="0" fontId="6" fillId="0" borderId="6" xfId="0" applyFont="1" applyBorder="1" applyAlignment="1">
      <alignment horizontal="left" vertical="center"/>
    </xf>
    <xf numFmtId="0" fontId="6" fillId="0" borderId="6" xfId="0" applyFont="1" applyBorder="1"/>
    <xf numFmtId="0" fontId="6" fillId="0" borderId="16" xfId="0" applyFont="1" applyBorder="1"/>
    <xf numFmtId="0" fontId="7" fillId="0" borderId="6" xfId="0" applyFont="1" applyBorder="1"/>
    <xf numFmtId="0" fontId="7" fillId="0" borderId="0" xfId="0" applyFont="1" applyBorder="1"/>
    <xf numFmtId="0" fontId="6" fillId="0" borderId="0" xfId="0" applyFont="1" applyBorder="1" applyAlignment="1">
      <alignment horizontal="left" vertical="center"/>
    </xf>
    <xf numFmtId="0" fontId="7" fillId="0" borderId="13" xfId="0" applyFont="1" applyBorder="1"/>
    <xf numFmtId="0" fontId="7" fillId="0" borderId="6" xfId="0" applyFont="1" applyBorder="1" applyAlignment="1">
      <alignment vertical="center"/>
    </xf>
    <xf numFmtId="0" fontId="7" fillId="0" borderId="0" xfId="0" applyFont="1" applyBorder="1" applyAlignment="1">
      <alignment vertical="center"/>
    </xf>
    <xf numFmtId="0" fontId="11" fillId="0" borderId="17" xfId="0" applyFont="1" applyBorder="1" applyAlignment="1">
      <alignment vertical="center"/>
    </xf>
    <xf numFmtId="0" fontId="6" fillId="0" borderId="18" xfId="0" applyFont="1" applyBorder="1"/>
    <xf numFmtId="0" fontId="6" fillId="0" borderId="19" xfId="0" applyFont="1" applyBorder="1"/>
    <xf numFmtId="0" fontId="6" fillId="0" borderId="19" xfId="0" applyFont="1" applyBorder="1" applyAlignment="1">
      <alignment horizontal="center" vertical="center"/>
    </xf>
    <xf numFmtId="0" fontId="6" fillId="0" borderId="20" xfId="0" applyFont="1" applyBorder="1"/>
    <xf numFmtId="0" fontId="6" fillId="0" borderId="0" xfId="0" applyFont="1" applyAlignment="1">
      <alignment horizontal="center" vertical="center"/>
    </xf>
    <xf numFmtId="0" fontId="13" fillId="0" borderId="0" xfId="1" applyBorder="1"/>
    <xf numFmtId="0" fontId="13" fillId="0" borderId="0" xfId="1" applyBorder="1" applyAlignment="1">
      <alignment horizontal="center"/>
    </xf>
    <xf numFmtId="0" fontId="13" fillId="0" borderId="0" xfId="1"/>
    <xf numFmtId="0" fontId="14" fillId="3" borderId="21" xfId="1" applyFont="1" applyFill="1" applyBorder="1" applyAlignment="1">
      <alignment vertical="center"/>
    </xf>
    <xf numFmtId="0" fontId="13" fillId="0" borderId="21" xfId="1" applyFont="1" applyBorder="1"/>
    <xf numFmtId="0" fontId="13" fillId="0" borderId="6" xfId="1" applyFont="1" applyBorder="1"/>
    <xf numFmtId="0" fontId="13" fillId="0" borderId="6" xfId="1" applyFont="1" applyBorder="1" applyAlignment="1">
      <alignment horizontal="right"/>
    </xf>
    <xf numFmtId="0" fontId="13" fillId="0" borderId="1" xfId="1" quotePrefix="1" applyFont="1" applyBorder="1" applyAlignment="1">
      <alignment horizontal="center"/>
    </xf>
    <xf numFmtId="0" fontId="13" fillId="0" borderId="1" xfId="1" applyBorder="1" applyAlignment="1">
      <alignment horizontal="center"/>
    </xf>
    <xf numFmtId="0" fontId="13" fillId="0" borderId="1" xfId="1" quotePrefix="1" applyBorder="1" applyAlignment="1">
      <alignment horizontal="center"/>
    </xf>
    <xf numFmtId="0" fontId="15" fillId="0" borderId="22" xfId="1" applyFont="1" applyBorder="1"/>
    <xf numFmtId="0" fontId="13" fillId="0" borderId="6" xfId="1" applyFill="1" applyBorder="1" applyAlignment="1">
      <alignment horizontal="center"/>
    </xf>
    <xf numFmtId="0" fontId="13" fillId="0" borderId="0" xfId="1" applyFill="1" applyBorder="1" applyAlignment="1">
      <alignment horizontal="center"/>
    </xf>
    <xf numFmtId="0" fontId="13" fillId="4" borderId="0" xfId="1" applyFill="1" applyBorder="1" applyAlignment="1">
      <alignment horizontal="center"/>
    </xf>
    <xf numFmtId="0" fontId="13" fillId="2" borderId="0" xfId="1" applyFill="1" applyBorder="1" applyAlignment="1">
      <alignment horizontal="center"/>
    </xf>
    <xf numFmtId="0" fontId="13" fillId="5" borderId="0" xfId="1" applyFill="1" applyBorder="1" applyAlignment="1">
      <alignment horizontal="center"/>
    </xf>
    <xf numFmtId="0" fontId="13" fillId="9" borderId="0" xfId="1" applyFill="1" applyBorder="1" applyAlignment="1">
      <alignment horizontal="center"/>
    </xf>
    <xf numFmtId="0" fontId="13" fillId="10" borderId="0" xfId="1" applyFill="1" applyBorder="1" applyAlignment="1">
      <alignment horizontal="center"/>
    </xf>
    <xf numFmtId="0" fontId="13" fillId="0" borderId="22" xfId="1" applyFont="1" applyBorder="1"/>
    <xf numFmtId="0" fontId="13" fillId="0" borderId="0" xfId="1" applyFont="1" applyBorder="1"/>
    <xf numFmtId="0" fontId="13" fillId="0" borderId="1" xfId="1" applyFont="1" applyBorder="1" applyAlignment="1">
      <alignment horizontal="center"/>
    </xf>
    <xf numFmtId="0" fontId="13" fillId="0" borderId="0" xfId="1" applyFont="1"/>
    <xf numFmtId="0" fontId="13" fillId="0" borderId="0" xfId="1" applyFont="1" applyBorder="1" applyAlignment="1">
      <alignment horizontal="center"/>
    </xf>
    <xf numFmtId="0" fontId="15" fillId="0" borderId="21" xfId="1" applyFont="1" applyBorder="1"/>
    <xf numFmtId="0" fontId="13" fillId="0" borderId="6" xfId="1" applyFont="1" applyBorder="1" applyAlignment="1">
      <alignment horizontal="center"/>
    </xf>
    <xf numFmtId="0" fontId="13" fillId="0" borderId="1" xfId="1" applyFont="1" applyFill="1" applyBorder="1" applyAlignment="1">
      <alignment horizontal="center"/>
    </xf>
    <xf numFmtId="0" fontId="13" fillId="0" borderId="23" xfId="1" applyFont="1" applyBorder="1"/>
    <xf numFmtId="0" fontId="13" fillId="0" borderId="0" xfId="1" applyAlignment="1">
      <alignment horizontal="center"/>
    </xf>
    <xf numFmtId="0" fontId="16" fillId="0" borderId="0" xfId="2"/>
    <xf numFmtId="0" fontId="16" fillId="0" borderId="12" xfId="2" applyBorder="1"/>
    <xf numFmtId="0" fontId="16" fillId="0" borderId="0" xfId="2" applyBorder="1"/>
    <xf numFmtId="0" fontId="16" fillId="0" borderId="10" xfId="2" applyBorder="1"/>
    <xf numFmtId="0" fontId="16" fillId="0" borderId="18" xfId="2" applyBorder="1"/>
    <xf numFmtId="0" fontId="16" fillId="0" borderId="19" xfId="2" applyBorder="1"/>
    <xf numFmtId="0" fontId="16" fillId="0" borderId="20" xfId="2" applyBorder="1"/>
    <xf numFmtId="4" fontId="1" fillId="0" borderId="0" xfId="0" applyNumberFormat="1" applyFont="1" applyAlignment="1">
      <alignment horizontal="center"/>
    </xf>
    <xf numFmtId="0" fontId="5" fillId="0" borderId="24" xfId="0" applyFont="1" applyBorder="1" applyAlignment="1">
      <alignment vertical="center"/>
    </xf>
    <xf numFmtId="4" fontId="6" fillId="0" borderId="0" xfId="0" applyNumberFormat="1" applyFont="1" applyAlignment="1">
      <alignment vertical="center"/>
    </xf>
    <xf numFmtId="0" fontId="19" fillId="0" borderId="0" xfId="0" applyFont="1" applyAlignment="1">
      <alignment vertical="center"/>
    </xf>
    <xf numFmtId="4" fontId="1" fillId="0" borderId="0" xfId="0" applyNumberFormat="1" applyFont="1" applyBorder="1" applyAlignment="1">
      <alignment vertical="center"/>
    </xf>
    <xf numFmtId="0" fontId="6" fillId="11" borderId="13" xfId="0" applyFont="1" applyFill="1" applyBorder="1" applyAlignment="1">
      <alignment horizontal="center" vertical="center"/>
    </xf>
    <xf numFmtId="0" fontId="6" fillId="10" borderId="13" xfId="0" applyFont="1" applyFill="1" applyBorder="1" applyAlignment="1">
      <alignment horizontal="center" vertical="center"/>
    </xf>
    <xf numFmtId="0" fontId="6" fillId="11" borderId="0" xfId="0" applyFont="1" applyFill="1" applyBorder="1" applyAlignment="1">
      <alignment horizontal="center" vertical="center"/>
    </xf>
    <xf numFmtId="0" fontId="6" fillId="11" borderId="25" xfId="0" applyFont="1" applyFill="1" applyBorder="1" applyAlignment="1">
      <alignment horizontal="center" vertical="center"/>
    </xf>
    <xf numFmtId="0" fontId="6" fillId="11" borderId="5" xfId="0" applyFont="1" applyFill="1" applyBorder="1" applyAlignment="1">
      <alignment horizontal="center" vertical="center"/>
    </xf>
    <xf numFmtId="0" fontId="6" fillId="8" borderId="25" xfId="0" applyFont="1" applyFill="1" applyBorder="1" applyAlignment="1">
      <alignment horizontal="center" vertical="center"/>
    </xf>
    <xf numFmtId="0" fontId="6" fillId="10" borderId="25" xfId="0" applyFont="1" applyFill="1" applyBorder="1" applyAlignment="1">
      <alignment horizontal="center" vertical="center"/>
    </xf>
    <xf numFmtId="0" fontId="6" fillId="10" borderId="0" xfId="0" applyFont="1" applyFill="1" applyBorder="1" applyAlignment="1">
      <alignment horizontal="center" vertical="center"/>
    </xf>
    <xf numFmtId="0" fontId="6" fillId="10" borderId="23" xfId="0" applyFont="1" applyFill="1" applyBorder="1" applyAlignment="1">
      <alignment horizontal="center" vertical="center"/>
    </xf>
    <xf numFmtId="0" fontId="6" fillId="8" borderId="5" xfId="0" applyFont="1" applyFill="1" applyBorder="1" applyAlignment="1">
      <alignment horizontal="center" vertical="center"/>
    </xf>
    <xf numFmtId="0" fontId="6" fillId="10" borderId="5" xfId="0" applyFont="1" applyFill="1" applyBorder="1" applyAlignment="1">
      <alignment horizontal="center" vertical="center"/>
    </xf>
    <xf numFmtId="0" fontId="10" fillId="0" borderId="1" xfId="0" applyFont="1" applyFill="1" applyBorder="1" applyAlignment="1">
      <alignment horizontal="center" vertical="center"/>
    </xf>
    <xf numFmtId="0" fontId="6" fillId="10" borderId="16" xfId="0" applyFont="1" applyFill="1" applyBorder="1" applyAlignment="1">
      <alignment horizontal="center" vertical="center"/>
    </xf>
    <xf numFmtId="0" fontId="13" fillId="0" borderId="5" xfId="1" applyBorder="1"/>
    <xf numFmtId="0" fontId="13" fillId="0" borderId="5" xfId="1" applyBorder="1" applyAlignment="1">
      <alignment horizontal="center"/>
    </xf>
    <xf numFmtId="0" fontId="13" fillId="0" borderId="2" xfId="1" applyBorder="1" applyAlignment="1">
      <alignment horizontal="center"/>
    </xf>
    <xf numFmtId="0" fontId="4" fillId="0" borderId="0" xfId="0" applyNumberFormat="1" applyFont="1" applyBorder="1" applyAlignment="1">
      <alignment horizontal="center" vertical="center"/>
    </xf>
    <xf numFmtId="0" fontId="10" fillId="0" borderId="26" xfId="0" applyFont="1" applyBorder="1" applyAlignment="1">
      <alignment horizontal="center" vertical="center"/>
    </xf>
    <xf numFmtId="0" fontId="6" fillId="8" borderId="5" xfId="0" quotePrefix="1" applyFont="1" applyFill="1" applyBorder="1" applyAlignment="1">
      <alignment horizontal="center" vertical="center"/>
    </xf>
    <xf numFmtId="0" fontId="6" fillId="8" borderId="0" xfId="0" quotePrefix="1" applyFont="1" applyFill="1" applyBorder="1" applyAlignment="1">
      <alignment horizontal="center" vertical="center"/>
    </xf>
    <xf numFmtId="0" fontId="6" fillId="8" borderId="16" xfId="0" quotePrefix="1" applyFont="1" applyFill="1" applyBorder="1" applyAlignment="1">
      <alignment horizontal="center" vertical="center"/>
    </xf>
    <xf numFmtId="0" fontId="6" fillId="8" borderId="13" xfId="0" quotePrefix="1" applyFont="1" applyFill="1" applyBorder="1" applyAlignment="1">
      <alignment horizontal="center" vertical="center"/>
    </xf>
    <xf numFmtId="0" fontId="6" fillId="8" borderId="25" xfId="0" quotePrefix="1" applyFont="1" applyFill="1" applyBorder="1" applyAlignment="1">
      <alignment horizontal="center" vertical="center"/>
    </xf>
    <xf numFmtId="0" fontId="13" fillId="0" borderId="6" xfId="1" applyBorder="1"/>
    <xf numFmtId="0" fontId="13" fillId="0" borderId="6" xfId="1" applyBorder="1" applyAlignment="1">
      <alignment horizontal="center"/>
    </xf>
    <xf numFmtId="0" fontId="13" fillId="0" borderId="23" xfId="1" applyBorder="1"/>
    <xf numFmtId="0" fontId="14" fillId="3" borderId="6" xfId="1" applyFont="1" applyFill="1" applyBorder="1" applyAlignment="1">
      <alignment horizontal="centerContinuous" vertical="center"/>
    </xf>
    <xf numFmtId="0" fontId="20" fillId="0" borderId="24" xfId="0" applyFont="1" applyBorder="1" applyAlignment="1">
      <alignment vertical="center"/>
    </xf>
    <xf numFmtId="0" fontId="18" fillId="0" borderId="7" xfId="0" applyFont="1" applyBorder="1" applyAlignment="1">
      <alignment vertical="center"/>
    </xf>
    <xf numFmtId="0" fontId="21" fillId="0" borderId="12" xfId="0" applyFont="1" applyBorder="1" applyAlignment="1">
      <alignment vertical="center"/>
    </xf>
    <xf numFmtId="0" fontId="18" fillId="0" borderId="0" xfId="0" applyFont="1" applyBorder="1" applyAlignment="1">
      <alignment vertical="center"/>
    </xf>
    <xf numFmtId="0" fontId="22" fillId="0" borderId="12" xfId="0" applyFont="1" applyBorder="1" applyAlignment="1">
      <alignment vertical="center"/>
    </xf>
    <xf numFmtId="0" fontId="18" fillId="0" borderId="18" xfId="0" applyFont="1" applyBorder="1" applyAlignment="1">
      <alignment vertical="center"/>
    </xf>
    <xf numFmtId="0" fontId="18" fillId="0" borderId="19" xfId="0" applyFont="1" applyBorder="1" applyAlignment="1">
      <alignment vertical="center"/>
    </xf>
    <xf numFmtId="0" fontId="18" fillId="0" borderId="24" xfId="0" applyFont="1" applyBorder="1" applyAlignment="1">
      <alignment vertical="center"/>
    </xf>
    <xf numFmtId="0" fontId="18" fillId="0" borderId="12" xfId="0" applyFont="1" applyBorder="1" applyAlignment="1">
      <alignment vertical="center"/>
    </xf>
    <xf numFmtId="0" fontId="18" fillId="0" borderId="0" xfId="0" applyFont="1" applyAlignment="1">
      <alignment vertical="center"/>
    </xf>
    <xf numFmtId="0" fontId="18" fillId="0" borderId="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xf>
    <xf numFmtId="0" fontId="18" fillId="0" borderId="0" xfId="0" applyFont="1" applyAlignment="1">
      <alignment horizontal="center" vertical="center"/>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8" fillId="0" borderId="20" xfId="0" applyFont="1" applyBorder="1" applyAlignment="1">
      <alignment horizontal="center" vertical="center"/>
    </xf>
    <xf numFmtId="0" fontId="23" fillId="0" borderId="1" xfId="0" applyFont="1" applyBorder="1" applyAlignment="1">
      <alignment horizontal="center" vertical="center"/>
    </xf>
    <xf numFmtId="0" fontId="23" fillId="0" borderId="27" xfId="0" applyFont="1" applyBorder="1" applyAlignment="1">
      <alignment vertical="center"/>
    </xf>
    <xf numFmtId="14" fontId="23" fillId="0" borderId="28" xfId="0" applyNumberFormat="1" applyFont="1" applyBorder="1" applyAlignment="1">
      <alignment horizontal="center" vertical="center"/>
    </xf>
    <xf numFmtId="0" fontId="24" fillId="0" borderId="19" xfId="0" applyFont="1" applyBorder="1" applyAlignment="1">
      <alignment horizontal="center" vertical="center"/>
    </xf>
    <xf numFmtId="0" fontId="24" fillId="0" borderId="19" xfId="0" applyFont="1" applyBorder="1" applyAlignment="1">
      <alignment vertical="center"/>
    </xf>
    <xf numFmtId="0" fontId="24" fillId="0" borderId="20" xfId="0" applyFont="1" applyBorder="1" applyAlignment="1">
      <alignment horizontal="center" vertical="center"/>
    </xf>
    <xf numFmtId="4" fontId="3" fillId="0" borderId="29" xfId="0" applyNumberFormat="1" applyFont="1" applyBorder="1" applyAlignment="1">
      <alignment horizontal="center" vertical="center" wrapText="1"/>
    </xf>
    <xf numFmtId="0" fontId="6" fillId="0" borderId="30" xfId="0" applyFont="1" applyBorder="1"/>
    <xf numFmtId="4" fontId="3" fillId="0" borderId="7" xfId="0" applyNumberFormat="1" applyFont="1" applyBorder="1" applyAlignment="1">
      <alignment horizontal="center" vertical="center" wrapText="1"/>
    </xf>
    <xf numFmtId="4" fontId="1" fillId="0" borderId="12" xfId="0" applyNumberFormat="1" applyFont="1" applyBorder="1" applyAlignment="1">
      <alignment vertical="center"/>
    </xf>
    <xf numFmtId="4" fontId="1" fillId="0" borderId="18" xfId="0" applyNumberFormat="1" applyFont="1" applyBorder="1" applyAlignment="1">
      <alignment vertical="center"/>
    </xf>
    <xf numFmtId="0" fontId="1" fillId="0" borderId="27" xfId="0" applyFont="1" applyBorder="1" applyAlignment="1">
      <alignment horizontal="center"/>
    </xf>
    <xf numFmtId="0" fontId="1" fillId="0" borderId="11" xfId="0" applyFont="1" applyBorder="1" applyAlignment="1">
      <alignment horizontal="right"/>
    </xf>
    <xf numFmtId="14" fontId="2" fillId="0" borderId="11" xfId="0" applyNumberFormat="1" applyFont="1" applyBorder="1" applyAlignment="1">
      <alignment horizontal="centerContinuous" vertical="center"/>
    </xf>
    <xf numFmtId="14" fontId="1" fillId="0" borderId="1" xfId="0" applyNumberFormat="1" applyFont="1" applyBorder="1" applyAlignment="1">
      <alignment horizontal="centerContinuous" vertical="center"/>
    </xf>
    <xf numFmtId="14" fontId="1" fillId="0" borderId="11" xfId="0" applyNumberFormat="1" applyFont="1" applyBorder="1" applyAlignment="1">
      <alignment horizontal="centerContinuous" vertical="center"/>
    </xf>
    <xf numFmtId="0" fontId="25" fillId="12" borderId="23" xfId="0" applyFont="1" applyFill="1" applyBorder="1" applyAlignment="1">
      <alignment horizontal="center"/>
    </xf>
    <xf numFmtId="0" fontId="25" fillId="12" borderId="4" xfId="0" applyFont="1" applyFill="1" applyBorder="1" applyAlignment="1">
      <alignment horizontal="center"/>
    </xf>
    <xf numFmtId="14" fontId="25" fillId="12" borderId="13" xfId="0" applyNumberFormat="1" applyFont="1" applyFill="1" applyBorder="1" applyAlignment="1">
      <alignment horizontal="center" vertical="center"/>
    </xf>
    <xf numFmtId="14" fontId="25" fillId="12" borderId="0" xfId="0" applyNumberFormat="1" applyFont="1" applyFill="1" applyBorder="1" applyAlignment="1">
      <alignment horizontal="center" vertical="center"/>
    </xf>
    <xf numFmtId="0" fontId="3" fillId="0" borderId="1" xfId="0" applyFont="1" applyBorder="1"/>
    <xf numFmtId="0" fontId="1" fillId="0" borderId="11" xfId="0" applyFont="1" applyBorder="1" applyAlignment="1" applyProtection="1">
      <alignment horizontal="center" vertical="center"/>
      <protection locked="0"/>
    </xf>
    <xf numFmtId="0" fontId="1" fillId="13" borderId="11" xfId="0" applyFont="1" applyFill="1" applyBorder="1" applyAlignment="1" applyProtection="1">
      <alignment horizontal="center" vertical="center"/>
      <protection locked="0"/>
    </xf>
    <xf numFmtId="0" fontId="1" fillId="13" borderId="2" xfId="0" applyFont="1" applyFill="1" applyBorder="1" applyAlignment="1" applyProtection="1">
      <alignment horizontal="center" vertical="center"/>
      <protection locked="0"/>
    </xf>
    <xf numFmtId="0" fontId="1" fillId="0" borderId="1" xfId="0" applyFont="1" applyBorder="1"/>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1" fillId="0" borderId="26" xfId="0" applyFont="1" applyBorder="1" applyAlignment="1">
      <alignment horizontal="center"/>
    </xf>
    <xf numFmtId="0" fontId="4" fillId="0" borderId="26" xfId="0" applyNumberFormat="1" applyFont="1" applyBorder="1" applyAlignment="1">
      <alignment horizontal="center" vertical="center"/>
    </xf>
    <xf numFmtId="0" fontId="1" fillId="0" borderId="3" xfId="0" applyFont="1" applyBorder="1" applyAlignment="1">
      <alignment horizontal="center"/>
    </xf>
    <xf numFmtId="0" fontId="4" fillId="0" borderId="3" xfId="0" applyNumberFormat="1" applyFont="1" applyBorder="1" applyAlignment="1">
      <alignment horizontal="center" vertical="center"/>
    </xf>
    <xf numFmtId="0" fontId="1" fillId="0" borderId="4" xfId="0" applyFont="1" applyBorder="1" applyAlignment="1">
      <alignment horizontal="center"/>
    </xf>
    <xf numFmtId="0" fontId="4" fillId="0" borderId="4" xfId="0" applyNumberFormat="1" applyFont="1" applyBorder="1" applyAlignment="1">
      <alignment horizontal="center" vertical="center"/>
    </xf>
    <xf numFmtId="0" fontId="2" fillId="0" borderId="0" xfId="0" applyFont="1" applyAlignment="1">
      <alignment horizontal="right" vertical="center"/>
    </xf>
    <xf numFmtId="0" fontId="2" fillId="0" borderId="5" xfId="0" applyFont="1" applyBorder="1" applyAlignment="1">
      <alignment horizontal="right" vertical="center"/>
    </xf>
    <xf numFmtId="0" fontId="5" fillId="0" borderId="1" xfId="0" applyFont="1" applyBorder="1" applyAlignment="1">
      <alignment horizontal="center" vertical="center"/>
    </xf>
    <xf numFmtId="0" fontId="6" fillId="11" borderId="21" xfId="0" applyFont="1" applyFill="1" applyBorder="1" applyAlignment="1">
      <alignment horizontal="center" vertical="center"/>
    </xf>
    <xf numFmtId="0" fontId="6" fillId="10" borderId="22" xfId="0" applyFont="1" applyFill="1" applyBorder="1" applyAlignment="1">
      <alignment horizontal="center" vertical="center"/>
    </xf>
    <xf numFmtId="0" fontId="6" fillId="8" borderId="22" xfId="0" applyFont="1" applyFill="1" applyBorder="1" applyAlignment="1">
      <alignment horizontal="center" vertical="center"/>
    </xf>
    <xf numFmtId="0" fontId="6" fillId="11" borderId="22" xfId="0" applyFont="1" applyFill="1" applyBorder="1" applyAlignment="1">
      <alignment horizontal="center" vertical="center"/>
    </xf>
    <xf numFmtId="0" fontId="6" fillId="8" borderId="23" xfId="0" quotePrefix="1" applyFont="1" applyFill="1" applyBorder="1" applyAlignment="1">
      <alignment horizontal="center" vertical="center"/>
    </xf>
    <xf numFmtId="0" fontId="6" fillId="11" borderId="23" xfId="0" applyFont="1" applyFill="1" applyBorder="1" applyAlignment="1">
      <alignment horizontal="center" vertical="center"/>
    </xf>
    <xf numFmtId="0" fontId="4" fillId="0" borderId="3" xfId="0" applyNumberFormat="1" applyFont="1" applyBorder="1" applyAlignment="1">
      <alignment horizontal="center" vertical="center" wrapText="1"/>
    </xf>
    <xf numFmtId="0" fontId="2" fillId="0" borderId="0" xfId="0" applyFont="1" applyAlignment="1">
      <alignment vertical="center"/>
    </xf>
    <xf numFmtId="14" fontId="2" fillId="0" borderId="6" xfId="0" applyNumberFormat="1" applyFont="1" applyBorder="1" applyAlignment="1">
      <alignment horizontal="left" vertical="center" wrapText="1"/>
    </xf>
    <xf numFmtId="4" fontId="17" fillId="0" borderId="0" xfId="0" applyNumberFormat="1" applyFont="1" applyBorder="1" applyAlignment="1">
      <alignment horizontal="center" vertical="center"/>
    </xf>
    <xf numFmtId="0" fontId="17" fillId="0" borderId="0" xfId="0" applyFont="1" applyAlignment="1">
      <alignment vertical="center"/>
    </xf>
    <xf numFmtId="0" fontId="17" fillId="0" borderId="1" xfId="0" applyFont="1" applyBorder="1" applyAlignment="1">
      <alignment horizontal="left" vertical="center"/>
    </xf>
    <xf numFmtId="0" fontId="17" fillId="0" borderId="1" xfId="0" applyFont="1" applyBorder="1" applyAlignment="1">
      <alignment vertical="center"/>
    </xf>
    <xf numFmtId="0" fontId="26" fillId="0" borderId="0" xfId="0" applyFont="1" applyAlignment="1">
      <alignment vertical="center" wrapText="1"/>
    </xf>
    <xf numFmtId="0" fontId="17" fillId="0" borderId="0" xfId="0" applyFont="1" applyBorder="1" applyAlignment="1">
      <alignment horizontal="left" vertical="center"/>
    </xf>
    <xf numFmtId="0" fontId="17" fillId="0" borderId="0" xfId="0" applyFont="1" applyBorder="1" applyAlignment="1">
      <alignment vertical="center"/>
    </xf>
    <xf numFmtId="0" fontId="2" fillId="0" borderId="5" xfId="0" applyFont="1" applyBorder="1" applyAlignment="1">
      <alignment vertical="center"/>
    </xf>
    <xf numFmtId="0" fontId="17" fillId="0" borderId="0" xfId="0" applyFont="1" applyAlignment="1">
      <alignment horizontal="left" vertical="center"/>
    </xf>
    <xf numFmtId="0" fontId="17" fillId="0" borderId="1" xfId="0" applyFont="1" applyBorder="1" applyAlignment="1">
      <alignment horizontal="center" vertical="center"/>
    </xf>
    <xf numFmtId="0" fontId="27" fillId="0" borderId="27" xfId="0" applyFont="1" applyBorder="1" applyAlignment="1">
      <alignment vertical="center"/>
    </xf>
    <xf numFmtId="0" fontId="27" fillId="0" borderId="1" xfId="0" applyFont="1" applyBorder="1" applyAlignment="1">
      <alignment horizontal="center" vertical="center"/>
    </xf>
    <xf numFmtId="0" fontId="27" fillId="7" borderId="1" xfId="0" applyFont="1" applyFill="1" applyBorder="1" applyAlignment="1">
      <alignment horizontal="center" vertical="center"/>
    </xf>
    <xf numFmtId="0" fontId="27" fillId="7" borderId="1" xfId="0" applyFont="1" applyFill="1" applyBorder="1" applyAlignment="1">
      <alignment vertical="center" wrapText="1"/>
    </xf>
    <xf numFmtId="0" fontId="17" fillId="0" borderId="3" xfId="0" applyFont="1" applyBorder="1" applyAlignment="1">
      <alignment vertical="center" wrapText="1"/>
    </xf>
    <xf numFmtId="4" fontId="17" fillId="0" borderId="26" xfId="0" applyNumberFormat="1" applyFont="1" applyBorder="1" applyAlignment="1">
      <alignment horizontal="center" vertical="center"/>
    </xf>
    <xf numFmtId="4" fontId="17" fillId="0" borderId="16" xfId="0" applyNumberFormat="1" applyFont="1" applyBorder="1" applyAlignment="1">
      <alignment horizontal="center" vertical="center"/>
    </xf>
    <xf numFmtId="4" fontId="17" fillId="0" borderId="3" xfId="0" applyNumberFormat="1" applyFont="1" applyBorder="1" applyAlignment="1">
      <alignment horizontal="center" vertical="center"/>
    </xf>
    <xf numFmtId="4" fontId="17" fillId="0" borderId="13" xfId="0" applyNumberFormat="1" applyFont="1" applyBorder="1" applyAlignment="1">
      <alignment horizontal="center" vertical="center"/>
    </xf>
    <xf numFmtId="0" fontId="2" fillId="0" borderId="3" xfId="0" applyFont="1" applyBorder="1" applyAlignment="1">
      <alignment horizontal="right" vertical="center"/>
    </xf>
    <xf numFmtId="4" fontId="17" fillId="0" borderId="4" xfId="0" applyNumberFormat="1" applyFont="1" applyBorder="1" applyAlignment="1">
      <alignment horizontal="center" vertical="center"/>
    </xf>
    <xf numFmtId="4" fontId="17" fillId="0" borderId="25" xfId="0" applyNumberFormat="1" applyFont="1" applyBorder="1" applyAlignment="1">
      <alignment horizontal="center" vertical="center"/>
    </xf>
    <xf numFmtId="0" fontId="27" fillId="0" borderId="1" xfId="0" applyFont="1" applyBorder="1" applyAlignment="1">
      <alignment vertical="center"/>
    </xf>
    <xf numFmtId="0" fontId="17" fillId="0" borderId="26" xfId="0" applyFont="1" applyBorder="1" applyAlignment="1">
      <alignment horizontal="center" vertical="center"/>
    </xf>
    <xf numFmtId="0" fontId="17" fillId="0" borderId="26" xfId="0" applyFont="1" applyBorder="1" applyAlignment="1">
      <alignment vertical="center" wrapText="1"/>
    </xf>
    <xf numFmtId="0" fontId="17" fillId="0" borderId="4" xfId="0" applyFont="1" applyBorder="1" applyAlignment="1">
      <alignment vertical="center" wrapText="1"/>
    </xf>
    <xf numFmtId="0" fontId="27" fillId="7" borderId="27" xfId="0" applyFont="1" applyFill="1" applyBorder="1" applyAlignment="1">
      <alignment vertical="center" wrapText="1"/>
    </xf>
    <xf numFmtId="0" fontId="17" fillId="0" borderId="22" xfId="0" applyFont="1" applyBorder="1" applyAlignment="1">
      <alignment horizontal="left" vertical="center"/>
    </xf>
    <xf numFmtId="0" fontId="17" fillId="0" borderId="0" xfId="0" applyFont="1" applyBorder="1" applyAlignment="1">
      <alignment vertical="center" wrapText="1"/>
    </xf>
    <xf numFmtId="0" fontId="27" fillId="7" borderId="2" xfId="0" applyFont="1" applyFill="1" applyBorder="1" applyAlignment="1">
      <alignment vertical="center" wrapText="1"/>
    </xf>
    <xf numFmtId="0" fontId="17" fillId="0" borderId="23" xfId="0" applyFont="1" applyBorder="1" applyAlignment="1">
      <alignment horizontal="center" vertical="center"/>
    </xf>
    <xf numFmtId="0" fontId="17" fillId="0" borderId="5" xfId="0" applyFont="1" applyBorder="1" applyAlignment="1">
      <alignment vertical="center"/>
    </xf>
    <xf numFmtId="0" fontId="27" fillId="7" borderId="26" xfId="0" applyFont="1" applyFill="1" applyBorder="1" applyAlignment="1">
      <alignment horizontal="center" vertical="center"/>
    </xf>
    <xf numFmtId="0" fontId="17" fillId="0" borderId="5" xfId="0" applyFont="1" applyBorder="1" applyAlignment="1">
      <alignment vertical="center" wrapText="1"/>
    </xf>
    <xf numFmtId="4" fontId="17" fillId="0" borderId="0" xfId="0" applyNumberFormat="1" applyFont="1" applyAlignment="1">
      <alignment horizontal="center" vertical="center"/>
    </xf>
    <xf numFmtId="0" fontId="18" fillId="0" borderId="0" xfId="0" applyFont="1" applyAlignment="1"/>
    <xf numFmtId="0" fontId="17" fillId="0" borderId="0" xfId="0" applyFont="1" applyBorder="1" applyAlignment="1">
      <alignment horizontal="center" vertical="center"/>
    </xf>
    <xf numFmtId="0" fontId="17" fillId="0" borderId="22" xfId="0" applyFont="1" applyBorder="1" applyAlignment="1">
      <alignment vertical="center" wrapText="1"/>
    </xf>
    <xf numFmtId="0" fontId="22" fillId="0" borderId="18" xfId="0" applyFont="1" applyBorder="1" applyAlignment="1">
      <alignment vertical="center"/>
    </xf>
    <xf numFmtId="49" fontId="4" fillId="0" borderId="26" xfId="0" applyNumberFormat="1" applyFont="1" applyBorder="1" applyAlignment="1">
      <alignment horizontal="center" vertical="center"/>
    </xf>
    <xf numFmtId="0" fontId="27" fillId="7" borderId="1" xfId="0" applyNumberFormat="1" applyFont="1" applyFill="1" applyBorder="1" applyAlignment="1">
      <alignment horizontal="center" vertical="center"/>
    </xf>
    <xf numFmtId="0" fontId="13" fillId="0" borderId="11" xfId="1" applyBorder="1"/>
    <xf numFmtId="0" fontId="28" fillId="0" borderId="0" xfId="1" applyFont="1"/>
    <xf numFmtId="0" fontId="29" fillId="0" borderId="0" xfId="0" applyFont="1"/>
    <xf numFmtId="0" fontId="29" fillId="0" borderId="0" xfId="0" applyFont="1" applyAlignment="1">
      <alignment vertical="center"/>
    </xf>
    <xf numFmtId="0" fontId="29" fillId="0" borderId="0" xfId="0" applyFont="1" applyAlignment="1"/>
    <xf numFmtId="0" fontId="31" fillId="15" borderId="1" xfId="1" applyFont="1" applyFill="1" applyBorder="1" applyAlignment="1">
      <alignment horizontal="center" vertical="center"/>
    </xf>
    <xf numFmtId="0" fontId="18" fillId="14" borderId="0" xfId="0" applyFont="1" applyFill="1"/>
    <xf numFmtId="0" fontId="4" fillId="0" borderId="4" xfId="0" quotePrefix="1" applyNumberFormat="1" applyFont="1" applyBorder="1" applyAlignment="1">
      <alignment horizontal="center" vertical="center"/>
    </xf>
    <xf numFmtId="0" fontId="17" fillId="0" borderId="0" xfId="0" applyFont="1" applyAlignment="1">
      <alignment wrapText="1"/>
    </xf>
    <xf numFmtId="0" fontId="17"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center"/>
    </xf>
    <xf numFmtId="0" fontId="18" fillId="0" borderId="0" xfId="0" applyFont="1"/>
    <xf numFmtId="4" fontId="1" fillId="0" borderId="0" xfId="0" applyNumberFormat="1" applyFont="1" applyAlignment="1">
      <alignment horizontal="center"/>
    </xf>
    <xf numFmtId="0" fontId="18" fillId="0" borderId="12" xfId="0" applyFont="1" applyBorder="1" applyAlignment="1">
      <alignment vertical="center"/>
    </xf>
    <xf numFmtId="14" fontId="2" fillId="0" borderId="11" xfId="0" applyNumberFormat="1" applyFont="1" applyBorder="1" applyAlignment="1">
      <alignment horizontal="centerContinuous" vertical="center"/>
    </xf>
    <xf numFmtId="14" fontId="1" fillId="0" borderId="1" xfId="0" applyNumberFormat="1" applyFont="1" applyBorder="1" applyAlignment="1">
      <alignment horizontal="centerContinuous" vertical="center"/>
    </xf>
    <xf numFmtId="14" fontId="1" fillId="0" borderId="11" xfId="0" applyNumberFormat="1" applyFont="1" applyBorder="1" applyAlignment="1">
      <alignment horizontal="centerContinuous" vertical="center"/>
    </xf>
    <xf numFmtId="14" fontId="25" fillId="12" borderId="13" xfId="0" applyNumberFormat="1" applyFont="1" applyFill="1" applyBorder="1" applyAlignment="1">
      <alignment horizontal="center" vertical="center"/>
    </xf>
    <xf numFmtId="14" fontId="25" fillId="12" borderId="0" xfId="0" applyNumberFormat="1" applyFont="1" applyFill="1" applyBorder="1" applyAlignment="1">
      <alignment horizontal="center" vertical="center"/>
    </xf>
    <xf numFmtId="0" fontId="1" fillId="0" borderId="11" xfId="0" applyFont="1" applyBorder="1" applyAlignment="1" applyProtection="1">
      <alignment horizontal="center" vertical="center"/>
      <protection locked="0"/>
    </xf>
    <xf numFmtId="0" fontId="1" fillId="13" borderId="11" xfId="0" applyFont="1" applyFill="1" applyBorder="1" applyAlignment="1" applyProtection="1">
      <alignment horizontal="center" vertical="center"/>
      <protection locked="0"/>
    </xf>
    <xf numFmtId="0" fontId="1" fillId="13" borderId="2" xfId="0" applyFont="1" applyFill="1" applyBorder="1" applyAlignment="1" applyProtection="1">
      <alignment horizontal="center" vertical="center"/>
      <protection locked="0"/>
    </xf>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4" fillId="0" borderId="26" xfId="0" applyNumberFormat="1" applyFont="1" applyBorder="1" applyAlignment="1">
      <alignment horizontal="center" vertical="center"/>
    </xf>
    <xf numFmtId="0" fontId="4" fillId="0" borderId="3" xfId="0" applyNumberFormat="1" applyFont="1" applyBorder="1" applyAlignment="1">
      <alignment horizontal="center" vertical="center"/>
    </xf>
    <xf numFmtId="0" fontId="4" fillId="0" borderId="4" xfId="0" applyNumberFormat="1" applyFont="1" applyBorder="1" applyAlignment="1">
      <alignment horizontal="center" vertical="center"/>
    </xf>
    <xf numFmtId="49" fontId="4" fillId="0" borderId="26" xfId="0" applyNumberFormat="1" applyFont="1" applyBorder="1" applyAlignment="1">
      <alignment horizontal="center" vertical="center"/>
    </xf>
    <xf numFmtId="0" fontId="18" fillId="14" borderId="1" xfId="0" applyFont="1" applyFill="1" applyBorder="1" applyAlignment="1">
      <alignment horizontal="center" vertical="center"/>
    </xf>
    <xf numFmtId="0" fontId="13" fillId="0" borderId="0" xfId="1" applyBorder="1"/>
    <xf numFmtId="0" fontId="13" fillId="0" borderId="0" xfId="1" applyBorder="1" applyAlignment="1">
      <alignment horizontal="center"/>
    </xf>
    <xf numFmtId="0" fontId="13" fillId="0" borderId="0" xfId="1"/>
    <xf numFmtId="0" fontId="13" fillId="2" borderId="0" xfId="1" applyFill="1" applyBorder="1" applyAlignment="1">
      <alignment horizontal="center"/>
    </xf>
    <xf numFmtId="0" fontId="13" fillId="0" borderId="22" xfId="1" applyFont="1" applyBorder="1"/>
    <xf numFmtId="0" fontId="13" fillId="0" borderId="1" xfId="1" applyFont="1" applyFill="1" applyBorder="1" applyAlignment="1">
      <alignment horizontal="center"/>
    </xf>
    <xf numFmtId="0" fontId="23" fillId="0" borderId="1" xfId="0" applyFont="1" applyBorder="1" applyAlignment="1">
      <alignment horizontal="center" vertical="center"/>
    </xf>
    <xf numFmtId="0" fontId="23" fillId="0" borderId="27" xfId="0" applyFont="1" applyBorder="1" applyAlignment="1">
      <alignment vertical="center"/>
    </xf>
    <xf numFmtId="14" fontId="23" fillId="0" borderId="28" xfId="0" applyNumberFormat="1" applyFont="1" applyBorder="1" applyAlignment="1">
      <alignment horizontal="center" vertical="center"/>
    </xf>
    <xf numFmtId="0" fontId="19" fillId="0" borderId="0" xfId="2" applyFont="1"/>
    <xf numFmtId="0" fontId="16" fillId="6" borderId="31" xfId="2" applyFill="1" applyBorder="1" applyAlignment="1">
      <alignment horizontal="center" vertical="top" wrapText="1"/>
    </xf>
    <xf numFmtId="0" fontId="16" fillId="6" borderId="32" xfId="2" applyFill="1" applyBorder="1" applyAlignment="1">
      <alignment horizontal="center" vertical="top" wrapText="1"/>
    </xf>
    <xf numFmtId="0" fontId="16" fillId="6" borderId="33" xfId="2" applyFill="1" applyBorder="1" applyAlignment="1">
      <alignment horizontal="center" vertical="top" wrapText="1"/>
    </xf>
    <xf numFmtId="0" fontId="16" fillId="6" borderId="34" xfId="2" applyFill="1" applyBorder="1" applyAlignment="1">
      <alignment horizontal="center" vertical="top" wrapText="1"/>
    </xf>
    <xf numFmtId="0" fontId="16" fillId="6" borderId="0" xfId="2" applyFill="1" applyBorder="1" applyAlignment="1">
      <alignment horizontal="center" vertical="top" wrapText="1"/>
    </xf>
    <xf numFmtId="0" fontId="16" fillId="6" borderId="35" xfId="2" applyFill="1" applyBorder="1" applyAlignment="1">
      <alignment horizontal="center" vertical="top" wrapText="1"/>
    </xf>
    <xf numFmtId="0" fontId="16" fillId="6" borderId="36" xfId="2" applyFill="1" applyBorder="1" applyAlignment="1">
      <alignment horizontal="center" vertical="top" wrapText="1"/>
    </xf>
    <xf numFmtId="0" fontId="16" fillId="6" borderId="37" xfId="2" applyFill="1" applyBorder="1" applyAlignment="1">
      <alignment horizontal="center" vertical="top" wrapText="1"/>
    </xf>
    <xf numFmtId="0" fontId="16" fillId="6" borderId="38" xfId="2" applyFill="1" applyBorder="1" applyAlignment="1">
      <alignment horizontal="center" vertical="top" wrapText="1"/>
    </xf>
    <xf numFmtId="0" fontId="11" fillId="0" borderId="2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4" fillId="3" borderId="2" xfId="1" applyFont="1" applyFill="1" applyBorder="1" applyAlignment="1">
      <alignment horizontal="center" vertical="center"/>
    </xf>
    <xf numFmtId="0" fontId="23" fillId="0" borderId="26" xfId="0" applyFont="1" applyBorder="1" applyAlignment="1">
      <alignment horizontal="center" vertical="center"/>
    </xf>
    <xf numFmtId="0" fontId="23" fillId="0" borderId="4" xfId="0" applyFont="1" applyBorder="1" applyAlignment="1">
      <alignment horizontal="center" vertical="center"/>
    </xf>
    <xf numFmtId="0" fontId="18" fillId="14" borderId="27" xfId="0" applyFont="1" applyFill="1" applyBorder="1" applyAlignment="1">
      <alignment vertical="center"/>
    </xf>
    <xf numFmtId="0" fontId="18" fillId="14" borderId="2" xfId="0" applyFont="1" applyFill="1" applyBorder="1" applyAlignment="1">
      <alignment vertical="center"/>
    </xf>
    <xf numFmtId="0" fontId="18" fillId="14" borderId="11" xfId="0" applyFont="1" applyFill="1" applyBorder="1" applyAlignment="1">
      <alignment vertical="center"/>
    </xf>
    <xf numFmtId="0" fontId="30" fillId="15" borderId="27" xfId="1" applyFont="1" applyFill="1" applyBorder="1" applyAlignment="1">
      <alignment horizontal="center" vertical="center"/>
    </xf>
    <xf numFmtId="0" fontId="30" fillId="15" borderId="2" xfId="1" applyFont="1" applyFill="1" applyBorder="1" applyAlignment="1">
      <alignment horizontal="center" vertical="center"/>
    </xf>
    <xf numFmtId="0" fontId="30" fillId="15" borderId="11" xfId="1" applyFont="1" applyFill="1" applyBorder="1" applyAlignment="1">
      <alignment horizontal="center" vertical="center"/>
    </xf>
    <xf numFmtId="0" fontId="32" fillId="15" borderId="1" xfId="0" applyFont="1" applyFill="1" applyBorder="1" applyAlignment="1">
      <alignment horizontal="center" vertical="center"/>
    </xf>
  </cellXfs>
  <cellStyles count="3">
    <cellStyle name="Normal" xfId="0" builtinId="0"/>
    <cellStyle name="Normal_P241 cortec" xfId="1" xr:uid="{00000000-0005-0000-0000-000001000000}"/>
    <cellStyle name="Normal_Template"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List" dx="16" fmlaLink="Language!$A$3" fmlaRange="Language!$B$4:$B$5" noThreeD="1" sel="1" val="0"/>
</file>

<file path=xl/ctrlProps/ctrlProp10.xml><?xml version="1.0" encoding="utf-8"?>
<formControlPr xmlns="http://schemas.microsoft.com/office/spreadsheetml/2009/9/main" objectType="List" dx="16" fmlaLink="Database!$D$93" fmlaRange="Database!$E$94:$E$95" noThreeD="1" sel="1" val="0"/>
</file>

<file path=xl/ctrlProps/ctrlProp11.xml><?xml version="1.0" encoding="utf-8"?>
<formControlPr xmlns="http://schemas.microsoft.com/office/spreadsheetml/2009/9/main" objectType="List" dx="16" fmlaLink="Database!$D$81" fmlaRange="Database!$E$82:$E$90" noThreeD="1" sel="7" val="0"/>
</file>

<file path=xl/ctrlProps/ctrlProp12.xml><?xml version="1.0" encoding="utf-8"?>
<formControlPr xmlns="http://schemas.microsoft.com/office/spreadsheetml/2009/9/main" objectType="List" dx="16" fmlaLink="Database!$D$97" fmlaRange="Database!$E$98" noThreeD="1" sel="1" val="0"/>
</file>

<file path=xl/ctrlProps/ctrlProp2.xml><?xml version="1.0" encoding="utf-8"?>
<formControlPr xmlns="http://schemas.microsoft.com/office/spreadsheetml/2009/9/main" objectType="List" dx="16" fmlaLink="Database!$D$9" fmlaRange="Database!$E$10:$E$12" noThreeD="1" sel="1" val="0"/>
</file>

<file path=xl/ctrlProps/ctrlProp3.xml><?xml version="1.0" encoding="utf-8"?>
<formControlPr xmlns="http://schemas.microsoft.com/office/spreadsheetml/2009/9/main" objectType="List" dx="16" fmlaLink="Database!$D$14" fmlaRange="Database!$E$15" noThreeD="1" sel="1" val="0"/>
</file>

<file path=xl/ctrlProps/ctrlProp4.xml><?xml version="1.0" encoding="utf-8"?>
<formControlPr xmlns="http://schemas.microsoft.com/office/spreadsheetml/2009/9/main" objectType="List" dx="16" fmlaLink="Database!$D$5" fmlaRange="Database!$E$6:$E$7" noThreeD="1" sel="1" val="0"/>
</file>

<file path=xl/ctrlProps/ctrlProp5.xml><?xml version="1.0" encoding="utf-8"?>
<formControlPr xmlns="http://schemas.microsoft.com/office/spreadsheetml/2009/9/main" objectType="List" dx="16" fmlaLink="Database!$D$18" fmlaRange="Database!$E$19:$E$27" noThreeD="1" sel="9" val="0"/>
</file>

<file path=xl/ctrlProps/ctrlProp6.xml><?xml version="1.0" encoding="utf-8"?>
<formControlPr xmlns="http://schemas.microsoft.com/office/spreadsheetml/2009/9/main" objectType="List" dx="16" fmlaLink="Database!$D$33" fmlaRange="Database!$E$34:$E$42" noThreeD="1" sel="1" val="0"/>
</file>

<file path=xl/ctrlProps/ctrlProp7.xml><?xml version="1.0" encoding="utf-8"?>
<formControlPr xmlns="http://schemas.microsoft.com/office/spreadsheetml/2009/9/main" objectType="List" dx="16" fmlaLink="Database!$D$45" fmlaRange="Database!$E$46:$E$54" noThreeD="1" sel="9" val="0"/>
</file>

<file path=xl/ctrlProps/ctrlProp8.xml><?xml version="1.0" encoding="utf-8"?>
<formControlPr xmlns="http://schemas.microsoft.com/office/spreadsheetml/2009/9/main" objectType="List" dx="16" fmlaLink="Database!$D$57" fmlaRange="Database!$E$58:$E$66" noThreeD="1" sel="9" val="0"/>
</file>

<file path=xl/ctrlProps/ctrlProp9.xml><?xml version="1.0" encoding="utf-8"?>
<formControlPr xmlns="http://schemas.microsoft.com/office/spreadsheetml/2009/9/main" objectType="List" dx="16" fmlaLink="Database!$D$69" fmlaRange="Database!$E$70:$E$78" noThreeD="1" sel="9"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47625</xdr:rowOff>
        </xdr:from>
        <xdr:to>
          <xdr:col>4</xdr:col>
          <xdr:colOff>0</xdr:colOff>
          <xdr:row>14</xdr:row>
          <xdr:rowOff>180975</xdr:rowOff>
        </xdr:to>
        <xdr:sp macro="" textlink="">
          <xdr:nvSpPr>
            <xdr:cNvPr id="6145" name="List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6</xdr:col>
          <xdr:colOff>0</xdr:colOff>
          <xdr:row>8</xdr:row>
          <xdr:rowOff>0</xdr:rowOff>
        </xdr:to>
        <xdr:sp macro="" textlink="">
          <xdr:nvSpPr>
            <xdr:cNvPr id="4097" name="List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0</xdr:rowOff>
        </xdr:from>
        <xdr:to>
          <xdr:col>6</xdr:col>
          <xdr:colOff>0</xdr:colOff>
          <xdr:row>10</xdr:row>
          <xdr:rowOff>0</xdr:rowOff>
        </xdr:to>
        <xdr:sp macro="" textlink="">
          <xdr:nvSpPr>
            <xdr:cNvPr id="4098" name="List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6</xdr:col>
          <xdr:colOff>0</xdr:colOff>
          <xdr:row>6</xdr:row>
          <xdr:rowOff>0</xdr:rowOff>
        </xdr:to>
        <xdr:sp macro="" textlink="">
          <xdr:nvSpPr>
            <xdr:cNvPr id="4099" name="List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0</xdr:rowOff>
        </xdr:from>
        <xdr:to>
          <xdr:col>6</xdr:col>
          <xdr:colOff>0</xdr:colOff>
          <xdr:row>12</xdr:row>
          <xdr:rowOff>0</xdr:rowOff>
        </xdr:to>
        <xdr:sp macro="" textlink="">
          <xdr:nvSpPr>
            <xdr:cNvPr id="4100" name="List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13</xdr:row>
          <xdr:rowOff>0</xdr:rowOff>
        </xdr:from>
        <xdr:to>
          <xdr:col>6</xdr:col>
          <xdr:colOff>0</xdr:colOff>
          <xdr:row>14</xdr:row>
          <xdr:rowOff>9525</xdr:rowOff>
        </xdr:to>
        <xdr:sp macro="" textlink="">
          <xdr:nvSpPr>
            <xdr:cNvPr id="4101" name="List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0</xdr:rowOff>
        </xdr:from>
        <xdr:to>
          <xdr:col>6</xdr:col>
          <xdr:colOff>0</xdr:colOff>
          <xdr:row>16</xdr:row>
          <xdr:rowOff>0</xdr:rowOff>
        </xdr:to>
        <xdr:sp macro="" textlink="">
          <xdr:nvSpPr>
            <xdr:cNvPr id="4102" name="List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6</xdr:col>
          <xdr:colOff>0</xdr:colOff>
          <xdr:row>18</xdr:row>
          <xdr:rowOff>0</xdr:rowOff>
        </xdr:to>
        <xdr:sp macro="" textlink="">
          <xdr:nvSpPr>
            <xdr:cNvPr id="4108" name="List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6</xdr:col>
          <xdr:colOff>0</xdr:colOff>
          <xdr:row>20</xdr:row>
          <xdr:rowOff>0</xdr:rowOff>
        </xdr:to>
        <xdr:sp macro="" textlink="">
          <xdr:nvSpPr>
            <xdr:cNvPr id="4119" name="List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6</xdr:col>
          <xdr:colOff>0</xdr:colOff>
          <xdr:row>24</xdr:row>
          <xdr:rowOff>0</xdr:rowOff>
        </xdr:to>
        <xdr:sp macro="" textlink="">
          <xdr:nvSpPr>
            <xdr:cNvPr id="4120" name="List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0</xdr:rowOff>
        </xdr:from>
        <xdr:to>
          <xdr:col>6</xdr:col>
          <xdr:colOff>0</xdr:colOff>
          <xdr:row>22</xdr:row>
          <xdr:rowOff>0</xdr:rowOff>
        </xdr:to>
        <xdr:sp macro="" textlink="">
          <xdr:nvSpPr>
            <xdr:cNvPr id="4123" name="List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0</xdr:rowOff>
        </xdr:from>
        <xdr:to>
          <xdr:col>6</xdr:col>
          <xdr:colOff>0</xdr:colOff>
          <xdr:row>26</xdr:row>
          <xdr:rowOff>0</xdr:rowOff>
        </xdr:to>
        <xdr:sp macro="" textlink="">
          <xdr:nvSpPr>
            <xdr:cNvPr id="4127" name="List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B1:J15"/>
  <sheetViews>
    <sheetView showGridLines="0" showRowColHeaders="0" tabSelected="1" workbookViewId="0">
      <selection activeCell="B24" sqref="B24"/>
    </sheetView>
  </sheetViews>
  <sheetFormatPr defaultColWidth="10.28515625" defaultRowHeight="14.25"/>
  <cols>
    <col min="1" max="1" width="4.140625" style="94" customWidth="1"/>
    <col min="2" max="9" width="11.42578125" style="94" customWidth="1"/>
    <col min="10" max="10" width="45.140625" style="94" customWidth="1"/>
    <col min="11" max="16384" width="10.28515625" style="94"/>
  </cols>
  <sheetData>
    <row r="1" spans="2:10" ht="20.25">
      <c r="B1" s="275" t="str">
        <f>HLOOKUP(Language!$C$3,Language!$E$1:$Z533,78,FALSE)</f>
        <v>THIS CORTEC FILE HAS BEEN REPLACED BY THE S20 CORTEC FILE</v>
      </c>
    </row>
    <row r="2" spans="2:10" ht="15" thickBot="1"/>
    <row r="3" spans="2:10" ht="15" customHeight="1" thickTop="1">
      <c r="B3" s="276" t="str">
        <f>HLOOKUP(Language!$C$3,Language!$E$1:$Z528,36,FALSE)</f>
        <v xml:space="preserve">Our policy is one of continuous development. Accordingly the design of our products may change at any time. </v>
      </c>
      <c r="C3" s="277"/>
      <c r="D3" s="277"/>
      <c r="E3" s="277"/>
      <c r="F3" s="277"/>
      <c r="G3" s="277"/>
      <c r="H3" s="277"/>
      <c r="I3" s="277"/>
      <c r="J3" s="278"/>
    </row>
    <row r="4" spans="2:10">
      <c r="B4" s="279" t="str">
        <f>HLOOKUP(Language!$C$3,Language!$E$1:$Z528,37,FALSE)</f>
        <v>Whilst every effort is made to produce up to date literature, this document should only be regarded as a guide and is intended for information purposes only.</v>
      </c>
      <c r="C4" s="280"/>
      <c r="D4" s="280"/>
      <c r="E4" s="280"/>
      <c r="F4" s="280"/>
      <c r="G4" s="280"/>
      <c r="H4" s="280"/>
      <c r="I4" s="280"/>
      <c r="J4" s="281"/>
    </row>
    <row r="5" spans="2:10">
      <c r="B5" s="279"/>
      <c r="C5" s="280"/>
      <c r="D5" s="280"/>
      <c r="E5" s="280"/>
      <c r="F5" s="280"/>
      <c r="G5" s="280"/>
      <c r="H5" s="280"/>
      <c r="I5" s="280"/>
      <c r="J5" s="281"/>
    </row>
    <row r="6" spans="2:10">
      <c r="B6" s="279" t="str">
        <f>HLOOKUP(Language!$C$3,Language!$E$1:$Z528,38,FALSE)</f>
        <v>Its contents do not constitute an offer for sale or advice on the application of any product referred to in it. We cannot be held responsible for any reliance on any decisions taken on its contents without specific advice.</v>
      </c>
      <c r="C6" s="280"/>
      <c r="D6" s="280"/>
      <c r="E6" s="280"/>
      <c r="F6" s="280"/>
      <c r="G6" s="280"/>
      <c r="H6" s="280"/>
      <c r="I6" s="280"/>
      <c r="J6" s="281"/>
    </row>
    <row r="7" spans="2:10">
      <c r="B7" s="279"/>
      <c r="C7" s="280"/>
      <c r="D7" s="280"/>
      <c r="E7" s="280"/>
      <c r="F7" s="280"/>
      <c r="G7" s="280"/>
      <c r="H7" s="280"/>
      <c r="I7" s="280"/>
      <c r="J7" s="281"/>
    </row>
    <row r="8" spans="2:10" ht="2.25" customHeight="1" thickBot="1">
      <c r="B8" s="282"/>
      <c r="C8" s="283"/>
      <c r="D8" s="283"/>
      <c r="E8" s="283"/>
      <c r="F8" s="283"/>
      <c r="G8" s="283"/>
      <c r="H8" s="283"/>
      <c r="I8" s="283"/>
      <c r="J8" s="284"/>
    </row>
    <row r="9" spans="2:10" ht="15" thickTop="1"/>
    <row r="10" spans="2:10" ht="15" thickBot="1"/>
    <row r="11" spans="2:10" ht="15.75">
      <c r="B11" s="285" t="str">
        <f>HLOOKUP(Language!$C$3,Language!$E$1:$Z528,39,FALSE)</f>
        <v>Language Selection</v>
      </c>
      <c r="C11" s="286"/>
      <c r="D11" s="287"/>
    </row>
    <row r="12" spans="2:10">
      <c r="B12" s="95"/>
      <c r="C12" s="96"/>
      <c r="D12" s="97"/>
    </row>
    <row r="13" spans="2:10">
      <c r="B13" s="95"/>
      <c r="C13" s="96"/>
      <c r="D13" s="97"/>
    </row>
    <row r="14" spans="2:10">
      <c r="B14" s="95"/>
      <c r="C14" s="96"/>
      <c r="D14" s="97"/>
    </row>
    <row r="15" spans="2:10" ht="15" thickBot="1">
      <c r="B15" s="98"/>
      <c r="C15" s="99"/>
      <c r="D15" s="100"/>
    </row>
  </sheetData>
  <sheetProtection password="C927" sheet="1" objects="1" scenarios="1"/>
  <mergeCells count="4">
    <mergeCell ref="B3:J3"/>
    <mergeCell ref="B4:J5"/>
    <mergeCell ref="B6:J8"/>
    <mergeCell ref="B11:D11"/>
  </mergeCells>
  <pageMargins left="0.511811024" right="0.511811024" top="0.78740157499999996" bottom="0.78740157499999996" header="0.31496062000000002" footer="0.31496062000000002"/>
  <drawing r:id="rId1"/>
  <legacyDrawing r:id="rId2"/>
  <mc:AlternateContent xmlns:mc="http://schemas.openxmlformats.org/markup-compatibility/2006">
    <mc:Choice Requires="x14">
      <controls>
        <mc:AlternateContent xmlns:mc="http://schemas.openxmlformats.org/markup-compatibility/2006">
          <mc:Choice Requires="x14">
            <control shapeId="6145" r:id="rId3" name="List Box 1">
              <controlPr defaultSize="0" autoLine="0" autoPict="0">
                <anchor moveWithCells="1">
                  <from>
                    <xdr:col>1</xdr:col>
                    <xdr:colOff>0</xdr:colOff>
                    <xdr:row>11</xdr:row>
                    <xdr:rowOff>47625</xdr:rowOff>
                  </from>
                  <to>
                    <xdr:col>4</xdr:col>
                    <xdr:colOff>0</xdr:colOff>
                    <xdr:row>14</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P103"/>
  <sheetViews>
    <sheetView showGridLines="0" zoomScaleNormal="100" workbookViewId="0"/>
  </sheetViews>
  <sheetFormatPr defaultRowHeight="12.75"/>
  <cols>
    <col min="1" max="1" width="8.140625" style="68" customWidth="1"/>
    <col min="2" max="2" width="19" style="68" customWidth="1"/>
    <col min="3" max="3" width="103" style="68" customWidth="1"/>
    <col min="4" max="4" width="15.28515625" style="93" customWidth="1"/>
    <col min="5" max="7" width="2.7109375" style="93" customWidth="1"/>
    <col min="8" max="10" width="3.140625" style="93" bestFit="1" customWidth="1"/>
    <col min="11" max="13" width="3.140625" style="67" bestFit="1" customWidth="1"/>
    <col min="14" max="14" width="5.85546875" style="93" bestFit="1" customWidth="1"/>
    <col min="15" max="15" width="5.5703125" style="93" customWidth="1"/>
    <col min="16" max="16384" width="9.140625" style="68"/>
  </cols>
  <sheetData>
    <row r="1" spans="1:250" s="268" customFormat="1" ht="20.25">
      <c r="A1" s="275" t="str">
        <f>HLOOKUP(Language!$C$3,Language!$E$1:$Z533,78,FALSE)</f>
        <v>THIS CORTEC FILE HAS BEEN REPLACED BY THE S20 CORTEC FILE</v>
      </c>
      <c r="D1" s="93"/>
      <c r="E1" s="93"/>
      <c r="F1" s="93"/>
      <c r="G1" s="93"/>
      <c r="H1" s="93"/>
      <c r="I1" s="93"/>
      <c r="J1" s="93"/>
      <c r="K1" s="267"/>
      <c r="L1" s="267"/>
      <c r="M1" s="267"/>
      <c r="N1" s="93"/>
      <c r="O1" s="93"/>
    </row>
    <row r="2" spans="1:250">
      <c r="A2" s="66" t="str">
        <f>HLOOKUP(Language!$C$3,Language!$E$1:$Z528,33,FALSE)</f>
        <v>Information required with Order</v>
      </c>
      <c r="B2" s="66"/>
      <c r="C2" s="66"/>
      <c r="D2" s="66"/>
      <c r="E2" s="66"/>
      <c r="F2" s="66"/>
      <c r="G2" s="66"/>
      <c r="H2" s="66"/>
      <c r="I2" s="66"/>
      <c r="J2" s="66"/>
      <c r="K2" s="66"/>
      <c r="L2" s="66"/>
      <c r="M2" s="66"/>
      <c r="N2" s="66"/>
      <c r="O2" s="66"/>
    </row>
    <row r="3" spans="1:250">
      <c r="A3" s="66"/>
      <c r="B3" s="66"/>
      <c r="C3" s="66"/>
      <c r="D3" s="67"/>
      <c r="E3" s="67"/>
      <c r="F3" s="67"/>
      <c r="G3" s="67"/>
      <c r="H3" s="67"/>
      <c r="I3" s="67"/>
      <c r="J3" s="67"/>
      <c r="N3" s="67"/>
      <c r="O3" s="67"/>
    </row>
    <row r="4" spans="1:250" ht="15" customHeight="1">
      <c r="A4" s="69" t="str">
        <f>HLOOKUP(Language!$C$3,Language!$E$1:$Z528,34,FALSE)</f>
        <v>Variants</v>
      </c>
      <c r="B4" s="288"/>
      <c r="C4" s="288"/>
      <c r="D4" s="132" t="str">
        <f>HLOOKUP(Language!$C$3,Language!$E$1:$Z528,35,FALSE)</f>
        <v>Order Number</v>
      </c>
      <c r="E4" s="132"/>
      <c r="F4" s="132"/>
      <c r="G4" s="132"/>
      <c r="H4" s="132"/>
      <c r="I4" s="132"/>
      <c r="J4" s="132"/>
      <c r="K4" s="132"/>
      <c r="L4" s="132"/>
      <c r="M4" s="132"/>
      <c r="N4" s="132"/>
      <c r="O4" s="132"/>
    </row>
    <row r="5" spans="1:250">
      <c r="A5" s="70"/>
      <c r="B5" s="71"/>
      <c r="C5" s="72"/>
      <c r="D5" s="73" t="s">
        <v>124</v>
      </c>
      <c r="E5" s="74">
        <v>7</v>
      </c>
      <c r="F5" s="75">
        <v>8</v>
      </c>
      <c r="G5" s="73">
        <v>9</v>
      </c>
      <c r="H5" s="74">
        <v>10</v>
      </c>
      <c r="I5" s="74">
        <v>11</v>
      </c>
      <c r="J5" s="74">
        <v>12</v>
      </c>
      <c r="K5" s="74">
        <v>13</v>
      </c>
      <c r="L5" s="74">
        <v>14</v>
      </c>
      <c r="M5" s="74">
        <v>15</v>
      </c>
      <c r="N5" s="74" t="s">
        <v>115</v>
      </c>
      <c r="O5" s="74" t="s">
        <v>116</v>
      </c>
    </row>
    <row r="6" spans="1:250">
      <c r="A6" s="76" t="str">
        <f>Database!B2</f>
        <v>Model Type</v>
      </c>
      <c r="B6" s="66"/>
      <c r="C6" s="66"/>
      <c r="D6" s="77"/>
      <c r="E6" s="79"/>
      <c r="F6" s="80"/>
      <c r="G6" s="81"/>
      <c r="H6" s="79"/>
      <c r="I6" s="82"/>
      <c r="J6" s="83"/>
      <c r="K6" s="79"/>
      <c r="L6" s="82"/>
      <c r="M6" s="83"/>
      <c r="N6" s="79"/>
      <c r="O6" s="80"/>
    </row>
    <row r="7" spans="1:250">
      <c r="A7" s="84" t="str">
        <f ca="1">'Master Text'!A3</f>
        <v>S2024G Modular Managed Ethernet Switch</v>
      </c>
      <c r="B7" s="85"/>
      <c r="C7" s="85"/>
      <c r="D7" s="86" t="str">
        <f>Database!E3</f>
        <v>S2024G</v>
      </c>
      <c r="E7" s="79"/>
      <c r="F7" s="80"/>
      <c r="G7" s="81"/>
      <c r="H7" s="79"/>
      <c r="I7" s="82"/>
      <c r="J7" s="83"/>
      <c r="K7" s="79"/>
      <c r="L7" s="82"/>
      <c r="M7" s="83"/>
      <c r="N7" s="79"/>
      <c r="O7" s="80"/>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7"/>
      <c r="CF7" s="87"/>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7"/>
      <c r="DU7" s="87"/>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87"/>
      <c r="GZ7" s="87"/>
      <c r="HA7" s="87"/>
      <c r="HB7" s="87"/>
      <c r="HC7" s="87"/>
      <c r="HD7" s="87"/>
      <c r="HE7" s="87"/>
      <c r="HF7" s="87"/>
      <c r="HG7" s="87"/>
      <c r="HH7" s="87"/>
      <c r="HI7" s="87"/>
      <c r="HJ7" s="87"/>
      <c r="HK7" s="87"/>
      <c r="HL7" s="87"/>
      <c r="HM7" s="87"/>
      <c r="HN7" s="87"/>
      <c r="HO7" s="87"/>
      <c r="HP7" s="87"/>
      <c r="HQ7" s="87"/>
      <c r="HR7" s="87"/>
      <c r="HS7" s="87"/>
      <c r="HT7" s="87"/>
      <c r="HU7" s="87"/>
      <c r="HV7" s="87"/>
      <c r="HW7" s="87"/>
      <c r="HX7" s="87"/>
      <c r="HY7" s="87"/>
      <c r="HZ7" s="87"/>
      <c r="IA7" s="87"/>
      <c r="IB7" s="87"/>
      <c r="IC7" s="87"/>
      <c r="ID7" s="87"/>
      <c r="IE7" s="87"/>
      <c r="IF7" s="87"/>
      <c r="IG7" s="87"/>
      <c r="IH7" s="87"/>
      <c r="II7" s="87"/>
      <c r="IJ7" s="87"/>
      <c r="IK7" s="87"/>
      <c r="IL7" s="87"/>
      <c r="IM7" s="87"/>
      <c r="IN7" s="87"/>
      <c r="IO7" s="87"/>
      <c r="IP7" s="87"/>
    </row>
    <row r="8" spans="1:250">
      <c r="A8" s="84"/>
      <c r="B8" s="85"/>
      <c r="C8" s="85"/>
      <c r="D8" s="88"/>
      <c r="E8" s="79"/>
      <c r="F8" s="80"/>
      <c r="G8" s="81"/>
      <c r="H8" s="79"/>
      <c r="I8" s="82"/>
      <c r="J8" s="83"/>
      <c r="K8" s="79"/>
      <c r="L8" s="82"/>
      <c r="M8" s="83"/>
      <c r="N8" s="79"/>
      <c r="O8" s="80"/>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87"/>
      <c r="DJ8" s="87"/>
      <c r="DK8" s="87"/>
      <c r="DL8" s="87"/>
      <c r="DM8" s="87"/>
      <c r="DN8" s="87"/>
      <c r="DO8" s="87"/>
      <c r="DP8" s="87"/>
      <c r="DQ8" s="87"/>
      <c r="DR8" s="87"/>
      <c r="DS8" s="87"/>
      <c r="DT8" s="87"/>
      <c r="DU8" s="87"/>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87"/>
      <c r="GZ8" s="87"/>
      <c r="HA8" s="87"/>
      <c r="HB8" s="87"/>
      <c r="HC8" s="87"/>
      <c r="HD8" s="87"/>
      <c r="HE8" s="87"/>
      <c r="HF8" s="87"/>
      <c r="HG8" s="87"/>
      <c r="HH8" s="87"/>
      <c r="HI8" s="87"/>
      <c r="HJ8" s="87"/>
      <c r="HK8" s="87"/>
      <c r="HL8" s="87"/>
      <c r="HM8" s="87"/>
      <c r="HN8" s="87"/>
      <c r="HO8" s="87"/>
      <c r="HP8" s="87"/>
      <c r="HQ8" s="87"/>
      <c r="HR8" s="87"/>
      <c r="HS8" s="87"/>
      <c r="HT8" s="87"/>
      <c r="HU8" s="87"/>
      <c r="HV8" s="87"/>
      <c r="HW8" s="87"/>
      <c r="HX8" s="87"/>
      <c r="HY8" s="87"/>
      <c r="HZ8" s="87"/>
      <c r="IA8" s="87"/>
      <c r="IB8" s="87"/>
      <c r="IC8" s="87"/>
      <c r="ID8" s="87"/>
      <c r="IE8" s="87"/>
      <c r="IF8" s="87"/>
      <c r="IG8" s="87"/>
      <c r="IH8" s="87"/>
      <c r="II8" s="87"/>
      <c r="IJ8" s="87"/>
      <c r="IK8" s="87"/>
      <c r="IL8" s="87"/>
      <c r="IM8" s="87"/>
      <c r="IN8" s="87"/>
      <c r="IO8" s="87"/>
      <c r="IP8" s="87"/>
    </row>
    <row r="9" spans="1:250">
      <c r="A9" s="89" t="str">
        <f>Database!B5</f>
        <v>Power Supply 1</v>
      </c>
      <c r="B9" s="71"/>
      <c r="C9" s="71"/>
      <c r="D9" s="90"/>
      <c r="E9" s="79"/>
      <c r="F9" s="80"/>
      <c r="G9" s="81"/>
      <c r="H9" s="79"/>
      <c r="I9" s="82"/>
      <c r="J9" s="83"/>
      <c r="K9" s="79"/>
      <c r="L9" s="82"/>
      <c r="M9" s="83"/>
      <c r="N9" s="79"/>
      <c r="O9" s="80"/>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7"/>
      <c r="CF9" s="87"/>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7"/>
      <c r="DU9" s="87"/>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87"/>
      <c r="FK9" s="87"/>
      <c r="FL9" s="87"/>
      <c r="FM9" s="87"/>
      <c r="FN9" s="87"/>
      <c r="FO9" s="87"/>
      <c r="FP9" s="87"/>
      <c r="FQ9" s="87"/>
      <c r="FR9" s="87"/>
      <c r="FS9" s="87"/>
      <c r="FT9" s="87"/>
      <c r="FU9" s="87"/>
      <c r="FV9" s="87"/>
      <c r="FW9" s="87"/>
      <c r="FX9" s="87"/>
      <c r="FY9" s="87"/>
      <c r="FZ9" s="87"/>
      <c r="GA9" s="87"/>
      <c r="GB9" s="87"/>
      <c r="GC9" s="87"/>
      <c r="GD9" s="87"/>
      <c r="GE9" s="87"/>
      <c r="GF9" s="87"/>
      <c r="GG9" s="87"/>
      <c r="GH9" s="87"/>
      <c r="GI9" s="87"/>
      <c r="GJ9" s="87"/>
      <c r="GK9" s="87"/>
      <c r="GL9" s="87"/>
      <c r="GM9" s="87"/>
      <c r="GN9" s="87"/>
      <c r="GO9" s="87"/>
      <c r="GP9" s="87"/>
      <c r="GQ9" s="87"/>
      <c r="GR9" s="87"/>
      <c r="GS9" s="87"/>
      <c r="GT9" s="87"/>
      <c r="GU9" s="87"/>
      <c r="GV9" s="87"/>
      <c r="GW9" s="87"/>
      <c r="GX9" s="87"/>
      <c r="GY9" s="87"/>
      <c r="GZ9" s="87"/>
      <c r="HA9" s="87"/>
      <c r="HB9" s="87"/>
      <c r="HC9" s="87"/>
      <c r="HD9" s="87"/>
      <c r="HE9" s="87"/>
      <c r="HF9" s="87"/>
      <c r="HG9" s="87"/>
      <c r="HH9" s="87"/>
      <c r="HI9" s="87"/>
      <c r="HJ9" s="87"/>
      <c r="HK9" s="87"/>
      <c r="HL9" s="87"/>
      <c r="HM9" s="87"/>
      <c r="HN9" s="87"/>
      <c r="HO9" s="87"/>
      <c r="HP9" s="87"/>
      <c r="HQ9" s="87"/>
      <c r="HR9" s="87"/>
      <c r="HS9" s="87"/>
      <c r="HT9" s="87"/>
      <c r="HU9" s="87"/>
      <c r="HV9" s="87"/>
      <c r="HW9" s="87"/>
      <c r="HX9" s="87"/>
      <c r="HY9" s="87"/>
      <c r="HZ9" s="87"/>
      <c r="IA9" s="87"/>
      <c r="IB9" s="87"/>
      <c r="IC9" s="87"/>
      <c r="ID9" s="87"/>
      <c r="IE9" s="87"/>
      <c r="IF9" s="87"/>
      <c r="IG9" s="87"/>
      <c r="IH9" s="87"/>
      <c r="II9" s="87"/>
      <c r="IJ9" s="87"/>
      <c r="IK9" s="87"/>
      <c r="IL9" s="87"/>
      <c r="IM9" s="87"/>
      <c r="IN9" s="87"/>
      <c r="IO9" s="87"/>
      <c r="IP9" s="87"/>
    </row>
    <row r="10" spans="1:250">
      <c r="A10" s="84" t="str">
        <f ca="1">Database!E6</f>
        <v>24-48 Vdc</v>
      </c>
      <c r="B10" s="85"/>
      <c r="C10" s="85"/>
      <c r="D10" s="88"/>
      <c r="E10" s="91">
        <f ca="1">Database!F6</f>
        <v>1</v>
      </c>
      <c r="F10" s="80"/>
      <c r="G10" s="81"/>
      <c r="H10" s="79"/>
      <c r="I10" s="82"/>
      <c r="J10" s="83"/>
      <c r="K10" s="79"/>
      <c r="L10" s="82"/>
      <c r="M10" s="83"/>
      <c r="N10" s="79"/>
      <c r="O10" s="80"/>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7"/>
      <c r="CN10" s="87"/>
      <c r="CO10" s="87"/>
      <c r="CP10" s="87"/>
      <c r="CQ10" s="87"/>
      <c r="CR10" s="87"/>
      <c r="CS10" s="87"/>
      <c r="CT10" s="87"/>
      <c r="CU10" s="87"/>
      <c r="CV10" s="87"/>
      <c r="CW10" s="87"/>
      <c r="CX10" s="87"/>
      <c r="CY10" s="87"/>
      <c r="CZ10" s="87"/>
      <c r="DA10" s="87"/>
      <c r="DB10" s="87"/>
      <c r="DC10" s="87"/>
      <c r="DD10" s="87"/>
      <c r="DE10" s="87"/>
      <c r="DF10" s="87"/>
      <c r="DG10" s="87"/>
      <c r="DH10" s="87"/>
      <c r="DI10" s="87"/>
      <c r="DJ10" s="87"/>
      <c r="DK10" s="87"/>
      <c r="DL10" s="87"/>
      <c r="DM10" s="87"/>
      <c r="DN10" s="87"/>
      <c r="DO10" s="87"/>
      <c r="DP10" s="87"/>
      <c r="DQ10" s="87"/>
      <c r="DR10" s="87"/>
      <c r="DS10" s="87"/>
      <c r="DT10" s="87"/>
      <c r="DU10" s="87"/>
      <c r="DV10" s="87"/>
      <c r="DW10" s="87"/>
      <c r="DX10" s="87"/>
      <c r="DY10" s="87"/>
      <c r="DZ10" s="87"/>
      <c r="EA10" s="87"/>
      <c r="EB10" s="87"/>
      <c r="EC10" s="87"/>
      <c r="ED10" s="87"/>
      <c r="EE10" s="87"/>
      <c r="EF10" s="87"/>
      <c r="EG10" s="87"/>
      <c r="EH10" s="87"/>
      <c r="EI10" s="87"/>
      <c r="EJ10" s="87"/>
      <c r="EK10" s="87"/>
      <c r="EL10" s="87"/>
      <c r="EM10" s="87"/>
      <c r="EN10" s="87"/>
      <c r="EO10" s="87"/>
      <c r="EP10" s="87"/>
      <c r="EQ10" s="87"/>
      <c r="ER10" s="87"/>
      <c r="ES10" s="87"/>
      <c r="ET10" s="87"/>
      <c r="EU10" s="87"/>
      <c r="EV10" s="87"/>
      <c r="EW10" s="87"/>
      <c r="EX10" s="87"/>
      <c r="EY10" s="87"/>
      <c r="EZ10" s="87"/>
      <c r="FA10" s="87"/>
      <c r="FB10" s="87"/>
      <c r="FC10" s="87"/>
      <c r="FD10" s="87"/>
      <c r="FE10" s="87"/>
      <c r="FF10" s="87"/>
      <c r="FG10" s="87"/>
      <c r="FH10" s="87"/>
      <c r="FI10" s="87"/>
      <c r="FJ10" s="87"/>
      <c r="FK10" s="87"/>
      <c r="FL10" s="87"/>
      <c r="FM10" s="87"/>
      <c r="FN10" s="87"/>
      <c r="FO10" s="87"/>
      <c r="FP10" s="87"/>
      <c r="FQ10" s="87"/>
      <c r="FR10" s="87"/>
      <c r="FS10" s="87"/>
      <c r="FT10" s="87"/>
      <c r="FU10" s="87"/>
      <c r="FV10" s="87"/>
      <c r="FW10" s="87"/>
      <c r="FX10" s="87"/>
      <c r="FY10" s="87"/>
      <c r="FZ10" s="87"/>
      <c r="GA10" s="87"/>
      <c r="GB10" s="87"/>
      <c r="GC10" s="87"/>
      <c r="GD10" s="87"/>
      <c r="GE10" s="87"/>
      <c r="GF10" s="87"/>
      <c r="GG10" s="87"/>
      <c r="GH10" s="87"/>
      <c r="GI10" s="87"/>
      <c r="GJ10" s="87"/>
      <c r="GK10" s="87"/>
      <c r="GL10" s="87"/>
      <c r="GM10" s="87"/>
      <c r="GN10" s="87"/>
      <c r="GO10" s="87"/>
      <c r="GP10" s="87"/>
      <c r="GQ10" s="87"/>
      <c r="GR10" s="87"/>
      <c r="GS10" s="87"/>
      <c r="GT10" s="87"/>
      <c r="GU10" s="87"/>
      <c r="GV10" s="87"/>
      <c r="GW10" s="87"/>
      <c r="GX10" s="87"/>
      <c r="GY10" s="87"/>
      <c r="GZ10" s="87"/>
      <c r="HA10" s="87"/>
      <c r="HB10" s="87"/>
      <c r="HC10" s="87"/>
      <c r="HD10" s="87"/>
      <c r="HE10" s="87"/>
      <c r="HF10" s="87"/>
      <c r="HG10" s="87"/>
      <c r="HH10" s="87"/>
      <c r="HI10" s="87"/>
      <c r="HJ10" s="87"/>
      <c r="HK10" s="87"/>
      <c r="HL10" s="87"/>
      <c r="HM10" s="87"/>
      <c r="HN10" s="87"/>
      <c r="HO10" s="87"/>
      <c r="HP10" s="87"/>
      <c r="HQ10" s="87"/>
      <c r="HR10" s="87"/>
      <c r="HS10" s="87"/>
      <c r="HT10" s="87"/>
      <c r="HU10" s="87"/>
      <c r="HV10" s="87"/>
      <c r="HW10" s="87"/>
      <c r="HX10" s="87"/>
      <c r="HY10" s="87"/>
      <c r="HZ10" s="87"/>
      <c r="IA10" s="87"/>
      <c r="IB10" s="87"/>
      <c r="IC10" s="87"/>
      <c r="ID10" s="87"/>
      <c r="IE10" s="87"/>
      <c r="IF10" s="87"/>
      <c r="IG10" s="87"/>
      <c r="IH10" s="87"/>
      <c r="II10" s="87"/>
      <c r="IJ10" s="87"/>
      <c r="IK10" s="87"/>
      <c r="IL10" s="87"/>
      <c r="IM10" s="87"/>
      <c r="IN10" s="87"/>
      <c r="IO10" s="87"/>
      <c r="IP10" s="87"/>
    </row>
    <row r="11" spans="1:250">
      <c r="A11" s="84" t="str">
        <f ca="1">Database!E7</f>
        <v>100-250 Vdc / 110-240 Vac</v>
      </c>
      <c r="B11" s="85"/>
      <c r="C11" s="85"/>
      <c r="D11" s="88"/>
      <c r="E11" s="91">
        <f ca="1">Database!F7</f>
        <v>3</v>
      </c>
      <c r="F11" s="80"/>
      <c r="G11" s="81"/>
      <c r="H11" s="79"/>
      <c r="I11" s="82"/>
      <c r="J11" s="83"/>
      <c r="K11" s="79"/>
      <c r="L11" s="82"/>
      <c r="M11" s="83"/>
      <c r="N11" s="79"/>
      <c r="O11" s="80"/>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7"/>
      <c r="DC11" s="87"/>
      <c r="DD11" s="87"/>
      <c r="DE11" s="87"/>
      <c r="DF11" s="87"/>
      <c r="DG11" s="87"/>
      <c r="DH11" s="87"/>
      <c r="DI11" s="87"/>
      <c r="DJ11" s="87"/>
      <c r="DK11" s="87"/>
      <c r="DL11" s="87"/>
      <c r="DM11" s="87"/>
      <c r="DN11" s="87"/>
      <c r="DO11" s="87"/>
      <c r="DP11" s="87"/>
      <c r="DQ11" s="87"/>
      <c r="DR11" s="87"/>
      <c r="DS11" s="87"/>
      <c r="DT11" s="87"/>
      <c r="DU11" s="87"/>
      <c r="DV11" s="87"/>
      <c r="DW11" s="87"/>
      <c r="DX11" s="87"/>
      <c r="DY11" s="87"/>
      <c r="DZ11" s="87"/>
      <c r="EA11" s="87"/>
      <c r="EB11" s="87"/>
      <c r="EC11" s="87"/>
      <c r="ED11" s="87"/>
      <c r="EE11" s="87"/>
      <c r="EF11" s="87"/>
      <c r="EG11" s="87"/>
      <c r="EH11" s="87"/>
      <c r="EI11" s="87"/>
      <c r="EJ11" s="87"/>
      <c r="EK11" s="87"/>
      <c r="EL11" s="87"/>
      <c r="EM11" s="87"/>
      <c r="EN11" s="87"/>
      <c r="EO11" s="87"/>
      <c r="EP11" s="87"/>
      <c r="EQ11" s="87"/>
      <c r="ER11" s="87"/>
      <c r="ES11" s="87"/>
      <c r="ET11" s="87"/>
      <c r="EU11" s="87"/>
      <c r="EV11" s="87"/>
      <c r="EW11" s="87"/>
      <c r="EX11" s="87"/>
      <c r="EY11" s="87"/>
      <c r="EZ11" s="87"/>
      <c r="FA11" s="87"/>
      <c r="FB11" s="87"/>
      <c r="FC11" s="87"/>
      <c r="FD11" s="87"/>
      <c r="FE11" s="87"/>
      <c r="FF11" s="87"/>
      <c r="FG11" s="87"/>
      <c r="FH11" s="87"/>
      <c r="FI11" s="87"/>
      <c r="FJ11" s="87"/>
      <c r="FK11" s="87"/>
      <c r="FL11" s="87"/>
      <c r="FM11" s="87"/>
      <c r="FN11" s="87"/>
      <c r="FO11" s="87"/>
      <c r="FP11" s="87"/>
      <c r="FQ11" s="87"/>
      <c r="FR11" s="87"/>
      <c r="FS11" s="87"/>
      <c r="FT11" s="87"/>
      <c r="FU11" s="87"/>
      <c r="FV11" s="87"/>
      <c r="FW11" s="87"/>
      <c r="FX11" s="87"/>
      <c r="FY11" s="87"/>
      <c r="FZ11" s="87"/>
      <c r="GA11" s="87"/>
      <c r="GB11" s="87"/>
      <c r="GC11" s="87"/>
      <c r="GD11" s="87"/>
      <c r="GE11" s="87"/>
      <c r="GF11" s="87"/>
      <c r="GG11" s="87"/>
      <c r="GH11" s="87"/>
      <c r="GI11" s="87"/>
      <c r="GJ11" s="87"/>
      <c r="GK11" s="87"/>
      <c r="GL11" s="87"/>
      <c r="GM11" s="87"/>
      <c r="GN11" s="87"/>
      <c r="GO11" s="87"/>
      <c r="GP11" s="87"/>
      <c r="GQ11" s="87"/>
      <c r="GR11" s="87"/>
      <c r="GS11" s="87"/>
      <c r="GT11" s="87"/>
      <c r="GU11" s="87"/>
      <c r="GV11" s="87"/>
      <c r="GW11" s="87"/>
      <c r="GX11" s="87"/>
      <c r="GY11" s="87"/>
      <c r="GZ11" s="87"/>
      <c r="HA11" s="87"/>
      <c r="HB11" s="87"/>
      <c r="HC11" s="87"/>
      <c r="HD11" s="87"/>
      <c r="HE11" s="87"/>
      <c r="HF11" s="87"/>
      <c r="HG11" s="87"/>
      <c r="HH11" s="87"/>
      <c r="HI11" s="87"/>
      <c r="HJ11" s="87"/>
      <c r="HK11" s="87"/>
      <c r="HL11" s="87"/>
      <c r="HM11" s="87"/>
      <c r="HN11" s="87"/>
      <c r="HO11" s="87"/>
      <c r="HP11" s="87"/>
      <c r="HQ11" s="87"/>
      <c r="HR11" s="87"/>
      <c r="HS11" s="87"/>
      <c r="HT11" s="87"/>
      <c r="HU11" s="87"/>
      <c r="HV11" s="87"/>
      <c r="HW11" s="87"/>
      <c r="HX11" s="87"/>
      <c r="HY11" s="87"/>
      <c r="HZ11" s="87"/>
      <c r="IA11" s="87"/>
      <c r="IB11" s="87"/>
      <c r="IC11" s="87"/>
      <c r="ID11" s="87"/>
      <c r="IE11" s="87"/>
      <c r="IF11" s="87"/>
      <c r="IG11" s="87"/>
      <c r="IH11" s="87"/>
      <c r="II11" s="87"/>
      <c r="IJ11" s="87"/>
      <c r="IK11" s="87"/>
      <c r="IL11" s="87"/>
      <c r="IM11" s="87"/>
      <c r="IN11" s="87"/>
      <c r="IO11" s="87"/>
      <c r="IP11" s="87"/>
    </row>
    <row r="12" spans="1:250">
      <c r="A12" s="84"/>
      <c r="B12" s="85"/>
      <c r="C12" s="85"/>
      <c r="D12" s="88"/>
      <c r="E12" s="78"/>
      <c r="F12" s="80"/>
      <c r="G12" s="81"/>
      <c r="H12" s="79"/>
      <c r="I12" s="82"/>
      <c r="J12" s="83"/>
      <c r="K12" s="79"/>
      <c r="L12" s="82"/>
      <c r="M12" s="83"/>
      <c r="N12" s="79"/>
      <c r="O12" s="80"/>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c r="CZ12" s="87"/>
      <c r="DA12" s="87"/>
      <c r="DB12" s="87"/>
      <c r="DC12" s="87"/>
      <c r="DD12" s="87"/>
      <c r="DE12" s="87"/>
      <c r="DF12" s="87"/>
      <c r="DG12" s="87"/>
      <c r="DH12" s="87"/>
      <c r="DI12" s="87"/>
      <c r="DJ12" s="87"/>
      <c r="DK12" s="87"/>
      <c r="DL12" s="87"/>
      <c r="DM12" s="87"/>
      <c r="DN12" s="87"/>
      <c r="DO12" s="87"/>
      <c r="DP12" s="87"/>
      <c r="DQ12" s="87"/>
      <c r="DR12" s="87"/>
      <c r="DS12" s="87"/>
      <c r="DT12" s="87"/>
      <c r="DU12" s="87"/>
      <c r="DV12" s="87"/>
      <c r="DW12" s="87"/>
      <c r="DX12" s="87"/>
      <c r="DY12" s="87"/>
      <c r="DZ12" s="87"/>
      <c r="EA12" s="87"/>
      <c r="EB12" s="87"/>
      <c r="EC12" s="87"/>
      <c r="ED12" s="87"/>
      <c r="EE12" s="87"/>
      <c r="EF12" s="87"/>
      <c r="EG12" s="87"/>
      <c r="EH12" s="87"/>
      <c r="EI12" s="87"/>
      <c r="EJ12" s="87"/>
      <c r="EK12" s="87"/>
      <c r="EL12" s="87"/>
      <c r="EM12" s="87"/>
      <c r="EN12" s="87"/>
      <c r="EO12" s="87"/>
      <c r="EP12" s="87"/>
      <c r="EQ12" s="87"/>
      <c r="ER12" s="87"/>
      <c r="ES12" s="87"/>
      <c r="ET12" s="87"/>
      <c r="EU12" s="87"/>
      <c r="EV12" s="87"/>
      <c r="EW12" s="87"/>
      <c r="EX12" s="87"/>
      <c r="EY12" s="87"/>
      <c r="EZ12" s="87"/>
      <c r="FA12" s="87"/>
      <c r="FB12" s="87"/>
      <c r="FC12" s="87"/>
      <c r="FD12" s="87"/>
      <c r="FE12" s="87"/>
      <c r="FF12" s="87"/>
      <c r="FG12" s="87"/>
      <c r="FH12" s="87"/>
      <c r="FI12" s="87"/>
      <c r="FJ12" s="87"/>
      <c r="FK12" s="87"/>
      <c r="FL12" s="87"/>
      <c r="FM12" s="87"/>
      <c r="FN12" s="87"/>
      <c r="FO12" s="87"/>
      <c r="FP12" s="87"/>
      <c r="FQ12" s="87"/>
      <c r="FR12" s="87"/>
      <c r="FS12" s="87"/>
      <c r="FT12" s="87"/>
      <c r="FU12" s="87"/>
      <c r="FV12" s="87"/>
      <c r="FW12" s="87"/>
      <c r="FX12" s="87"/>
      <c r="FY12" s="87"/>
      <c r="FZ12" s="87"/>
      <c r="GA12" s="87"/>
      <c r="GB12" s="87"/>
      <c r="GC12" s="87"/>
      <c r="GD12" s="87"/>
      <c r="GE12" s="87"/>
      <c r="GF12" s="87"/>
      <c r="GG12" s="87"/>
      <c r="GH12" s="87"/>
      <c r="GI12" s="87"/>
      <c r="GJ12" s="87"/>
      <c r="GK12" s="87"/>
      <c r="GL12" s="87"/>
      <c r="GM12" s="87"/>
      <c r="GN12" s="87"/>
      <c r="GO12" s="87"/>
      <c r="GP12" s="87"/>
      <c r="GQ12" s="87"/>
      <c r="GR12" s="87"/>
      <c r="GS12" s="87"/>
      <c r="GT12" s="87"/>
      <c r="GU12" s="87"/>
      <c r="GV12" s="87"/>
      <c r="GW12" s="87"/>
      <c r="GX12" s="87"/>
      <c r="GY12" s="87"/>
      <c r="GZ12" s="87"/>
      <c r="HA12" s="87"/>
      <c r="HB12" s="87"/>
      <c r="HC12" s="87"/>
      <c r="HD12" s="87"/>
      <c r="HE12" s="87"/>
      <c r="HF12" s="87"/>
      <c r="HG12" s="87"/>
      <c r="HH12" s="87"/>
      <c r="HI12" s="87"/>
      <c r="HJ12" s="87"/>
      <c r="HK12" s="87"/>
      <c r="HL12" s="87"/>
      <c r="HM12" s="87"/>
      <c r="HN12" s="87"/>
      <c r="HO12" s="87"/>
      <c r="HP12" s="87"/>
      <c r="HQ12" s="87"/>
      <c r="HR12" s="87"/>
      <c r="HS12" s="87"/>
      <c r="HT12" s="87"/>
      <c r="HU12" s="87"/>
      <c r="HV12" s="87"/>
      <c r="HW12" s="87"/>
      <c r="HX12" s="87"/>
      <c r="HY12" s="87"/>
      <c r="HZ12" s="87"/>
      <c r="IA12" s="87"/>
      <c r="IB12" s="87"/>
      <c r="IC12" s="87"/>
      <c r="ID12" s="87"/>
      <c r="IE12" s="87"/>
      <c r="IF12" s="87"/>
      <c r="IG12" s="87"/>
      <c r="IH12" s="87"/>
      <c r="II12" s="87"/>
      <c r="IJ12" s="87"/>
      <c r="IK12" s="87"/>
      <c r="IL12" s="87"/>
      <c r="IM12" s="87"/>
      <c r="IN12" s="87"/>
      <c r="IO12" s="87"/>
      <c r="IP12" s="87"/>
    </row>
    <row r="13" spans="1:250">
      <c r="A13" s="89" t="str">
        <f>Database!B9</f>
        <v>Power Supply 2</v>
      </c>
      <c r="B13" s="71"/>
      <c r="C13" s="71"/>
      <c r="D13" s="90"/>
      <c r="E13" s="77"/>
      <c r="F13" s="80"/>
      <c r="G13" s="81"/>
      <c r="H13" s="79"/>
      <c r="I13" s="82"/>
      <c r="J13" s="83"/>
      <c r="K13" s="79"/>
      <c r="L13" s="82"/>
      <c r="M13" s="83"/>
      <c r="N13" s="79"/>
      <c r="O13" s="80"/>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7"/>
      <c r="FG13" s="87"/>
      <c r="FH13" s="87"/>
      <c r="FI13" s="87"/>
      <c r="FJ13" s="87"/>
      <c r="FK13" s="87"/>
      <c r="FL13" s="87"/>
      <c r="FM13" s="87"/>
      <c r="FN13" s="87"/>
      <c r="FO13" s="87"/>
      <c r="FP13" s="87"/>
      <c r="FQ13" s="87"/>
      <c r="FR13" s="87"/>
      <c r="FS13" s="87"/>
      <c r="FT13" s="87"/>
      <c r="FU13" s="87"/>
      <c r="FV13" s="87"/>
      <c r="FW13" s="87"/>
      <c r="FX13" s="87"/>
      <c r="FY13" s="87"/>
      <c r="FZ13" s="87"/>
      <c r="GA13" s="87"/>
      <c r="GB13" s="87"/>
      <c r="GC13" s="87"/>
      <c r="GD13" s="87"/>
      <c r="GE13" s="87"/>
      <c r="GF13" s="87"/>
      <c r="GG13" s="87"/>
      <c r="GH13" s="87"/>
      <c r="GI13" s="87"/>
      <c r="GJ13" s="87"/>
      <c r="GK13" s="87"/>
      <c r="GL13" s="87"/>
      <c r="GM13" s="87"/>
      <c r="GN13" s="87"/>
      <c r="GO13" s="87"/>
      <c r="GP13" s="87"/>
      <c r="GQ13" s="87"/>
      <c r="GR13" s="87"/>
      <c r="GS13" s="87"/>
      <c r="GT13" s="87"/>
      <c r="GU13" s="87"/>
      <c r="GV13" s="87"/>
      <c r="GW13" s="87"/>
      <c r="GX13" s="87"/>
      <c r="GY13" s="87"/>
      <c r="GZ13" s="87"/>
      <c r="HA13" s="87"/>
      <c r="HB13" s="87"/>
      <c r="HC13" s="87"/>
      <c r="HD13" s="87"/>
      <c r="HE13" s="87"/>
      <c r="HF13" s="87"/>
      <c r="HG13" s="87"/>
      <c r="HH13" s="87"/>
      <c r="HI13" s="87"/>
      <c r="HJ13" s="87"/>
      <c r="HK13" s="87"/>
      <c r="HL13" s="87"/>
      <c r="HM13" s="87"/>
      <c r="HN13" s="87"/>
      <c r="HO13" s="87"/>
      <c r="HP13" s="87"/>
      <c r="HQ13" s="87"/>
      <c r="HR13" s="87"/>
      <c r="HS13" s="87"/>
      <c r="HT13" s="87"/>
      <c r="HU13" s="87"/>
      <c r="HV13" s="87"/>
      <c r="HW13" s="87"/>
      <c r="HX13" s="87"/>
      <c r="HY13" s="87"/>
      <c r="HZ13" s="87"/>
      <c r="IA13" s="87"/>
      <c r="IB13" s="87"/>
      <c r="IC13" s="87"/>
      <c r="ID13" s="87"/>
      <c r="IE13" s="87"/>
      <c r="IF13" s="87"/>
      <c r="IG13" s="87"/>
      <c r="IH13" s="87"/>
      <c r="II13" s="87"/>
      <c r="IJ13" s="87"/>
      <c r="IK13" s="87"/>
      <c r="IL13" s="87"/>
      <c r="IM13" s="87"/>
      <c r="IN13" s="87"/>
      <c r="IO13" s="87"/>
      <c r="IP13" s="87"/>
    </row>
    <row r="14" spans="1:250">
      <c r="A14" s="84" t="str">
        <f ca="1">Database!E10</f>
        <v>24-48 Vdc</v>
      </c>
      <c r="B14" s="85"/>
      <c r="C14" s="85"/>
      <c r="D14" s="88"/>
      <c r="E14" s="78"/>
      <c r="F14" s="91">
        <f ca="1">Database!F10</f>
        <v>1</v>
      </c>
      <c r="G14" s="81"/>
      <c r="H14" s="79"/>
      <c r="I14" s="82"/>
      <c r="J14" s="83"/>
      <c r="K14" s="79"/>
      <c r="L14" s="82"/>
      <c r="M14" s="83"/>
      <c r="N14" s="79"/>
      <c r="O14" s="80"/>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row>
    <row r="15" spans="1:250">
      <c r="A15" s="84" t="str">
        <f ca="1">Database!E11</f>
        <v>100-250 Vdc / 110-240 Vac</v>
      </c>
      <c r="B15" s="85"/>
      <c r="C15" s="85"/>
      <c r="D15" s="88"/>
      <c r="E15" s="78"/>
      <c r="F15" s="91">
        <f ca="1">Database!F11</f>
        <v>3</v>
      </c>
      <c r="G15" s="81"/>
      <c r="H15" s="79"/>
      <c r="I15" s="82"/>
      <c r="J15" s="83"/>
      <c r="K15" s="79"/>
      <c r="L15" s="82"/>
      <c r="M15" s="83"/>
      <c r="N15" s="79"/>
      <c r="O15" s="80"/>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87"/>
      <c r="IG15" s="87"/>
      <c r="IH15" s="87"/>
      <c r="II15" s="87"/>
      <c r="IJ15" s="87"/>
      <c r="IK15" s="87"/>
      <c r="IL15" s="87"/>
      <c r="IM15" s="87"/>
      <c r="IN15" s="87"/>
      <c r="IO15" s="87"/>
      <c r="IP15" s="87"/>
    </row>
    <row r="16" spans="1:250">
      <c r="A16" s="84" t="str">
        <f ca="1">Database!E12</f>
        <v>Not installed</v>
      </c>
      <c r="B16" s="85"/>
      <c r="C16" s="85"/>
      <c r="D16" s="88"/>
      <c r="E16" s="78"/>
      <c r="F16" s="91" t="str">
        <f ca="1">Database!F12</f>
        <v>X</v>
      </c>
      <c r="G16" s="81"/>
      <c r="H16" s="79"/>
      <c r="I16" s="82"/>
      <c r="J16" s="83"/>
      <c r="K16" s="79"/>
      <c r="L16" s="82"/>
      <c r="M16" s="83"/>
      <c r="N16" s="79"/>
      <c r="O16" s="80"/>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c r="CW16" s="87"/>
      <c r="CX16" s="87"/>
      <c r="CY16" s="87"/>
      <c r="CZ16" s="87"/>
      <c r="DA16" s="87"/>
      <c r="DB16" s="87"/>
      <c r="DC16" s="87"/>
      <c r="DD16" s="87"/>
      <c r="DE16" s="87"/>
      <c r="DF16" s="87"/>
      <c r="DG16" s="87"/>
      <c r="DH16" s="87"/>
      <c r="DI16" s="87"/>
      <c r="DJ16" s="87"/>
      <c r="DK16" s="87"/>
      <c r="DL16" s="87"/>
      <c r="DM16" s="87"/>
      <c r="DN16" s="87"/>
      <c r="DO16" s="87"/>
      <c r="DP16" s="87"/>
      <c r="DQ16" s="87"/>
      <c r="DR16" s="87"/>
      <c r="DS16" s="87"/>
      <c r="DT16" s="87"/>
      <c r="DU16" s="87"/>
      <c r="DV16" s="87"/>
      <c r="DW16" s="87"/>
      <c r="DX16" s="87"/>
      <c r="DY16" s="87"/>
      <c r="DZ16" s="87"/>
      <c r="EA16" s="87"/>
      <c r="EB16" s="87"/>
      <c r="EC16" s="87"/>
      <c r="ED16" s="87"/>
      <c r="EE16" s="87"/>
      <c r="EF16" s="87"/>
      <c r="EG16" s="87"/>
      <c r="EH16" s="87"/>
      <c r="EI16" s="87"/>
      <c r="EJ16" s="87"/>
      <c r="EK16" s="87"/>
      <c r="EL16" s="87"/>
      <c r="EM16" s="87"/>
      <c r="EN16" s="87"/>
      <c r="EO16" s="87"/>
      <c r="EP16" s="87"/>
      <c r="EQ16" s="87"/>
      <c r="ER16" s="87"/>
      <c r="ES16" s="87"/>
      <c r="ET16" s="87"/>
      <c r="EU16" s="87"/>
      <c r="EV16" s="87"/>
      <c r="EW16" s="87"/>
      <c r="EX16" s="87"/>
      <c r="EY16" s="87"/>
      <c r="EZ16" s="87"/>
      <c r="FA16" s="87"/>
      <c r="FB16" s="87"/>
      <c r="FC16" s="87"/>
      <c r="FD16" s="87"/>
      <c r="FE16" s="87"/>
      <c r="FF16" s="87"/>
      <c r="FG16" s="87"/>
      <c r="FH16" s="87"/>
      <c r="FI16" s="87"/>
      <c r="FJ16" s="87"/>
      <c r="FK16" s="87"/>
      <c r="FL16" s="87"/>
      <c r="FM16" s="87"/>
      <c r="FN16" s="87"/>
      <c r="FO16" s="87"/>
      <c r="FP16" s="87"/>
      <c r="FQ16" s="87"/>
      <c r="FR16" s="87"/>
      <c r="FS16" s="87"/>
      <c r="FT16" s="87"/>
      <c r="FU16" s="87"/>
      <c r="FV16" s="87"/>
      <c r="FW16" s="87"/>
      <c r="FX16" s="87"/>
      <c r="FY16" s="87"/>
      <c r="FZ16" s="87"/>
      <c r="GA16" s="87"/>
      <c r="GB16" s="87"/>
      <c r="GC16" s="87"/>
      <c r="GD16" s="87"/>
      <c r="GE16" s="87"/>
      <c r="GF16" s="87"/>
      <c r="GG16" s="87"/>
      <c r="GH16" s="87"/>
      <c r="GI16" s="87"/>
      <c r="GJ16" s="87"/>
      <c r="GK16" s="87"/>
      <c r="GL16" s="87"/>
      <c r="GM16" s="87"/>
      <c r="GN16" s="87"/>
      <c r="GO16" s="87"/>
      <c r="GP16" s="87"/>
      <c r="GQ16" s="87"/>
      <c r="GR16" s="87"/>
      <c r="GS16" s="87"/>
      <c r="GT16" s="87"/>
      <c r="GU16" s="87"/>
      <c r="GV16" s="87"/>
      <c r="GW16" s="87"/>
      <c r="GX16" s="87"/>
      <c r="GY16" s="87"/>
      <c r="GZ16" s="87"/>
      <c r="HA16" s="87"/>
      <c r="HB16" s="87"/>
      <c r="HC16" s="87"/>
      <c r="HD16" s="87"/>
      <c r="HE16" s="87"/>
      <c r="HF16" s="87"/>
      <c r="HG16" s="87"/>
      <c r="HH16" s="87"/>
      <c r="HI16" s="87"/>
      <c r="HJ16" s="87"/>
      <c r="HK16" s="87"/>
      <c r="HL16" s="87"/>
      <c r="HM16" s="87"/>
      <c r="HN16" s="87"/>
      <c r="HO16" s="87"/>
      <c r="HP16" s="87"/>
      <c r="HQ16" s="87"/>
      <c r="HR16" s="87"/>
      <c r="HS16" s="87"/>
      <c r="HT16" s="87"/>
      <c r="HU16" s="87"/>
      <c r="HV16" s="87"/>
      <c r="HW16" s="87"/>
      <c r="HX16" s="87"/>
      <c r="HY16" s="87"/>
      <c r="HZ16" s="87"/>
      <c r="IA16" s="87"/>
      <c r="IB16" s="87"/>
      <c r="IC16" s="87"/>
      <c r="ID16" s="87"/>
      <c r="IE16" s="87"/>
      <c r="IF16" s="87"/>
      <c r="IG16" s="87"/>
      <c r="IH16" s="87"/>
      <c r="II16" s="87"/>
      <c r="IJ16" s="87"/>
      <c r="IK16" s="87"/>
      <c r="IL16" s="87"/>
      <c r="IM16" s="87"/>
      <c r="IN16" s="87"/>
      <c r="IO16" s="87"/>
      <c r="IP16" s="87"/>
    </row>
    <row r="17" spans="1:250">
      <c r="A17" s="84"/>
      <c r="B17" s="85"/>
      <c r="C17" s="85"/>
      <c r="D17" s="88"/>
      <c r="E17" s="78"/>
      <c r="F17" s="78"/>
      <c r="G17" s="81"/>
      <c r="H17" s="79"/>
      <c r="I17" s="82"/>
      <c r="J17" s="83"/>
      <c r="K17" s="79"/>
      <c r="L17" s="82"/>
      <c r="M17" s="83"/>
      <c r="N17" s="79"/>
      <c r="O17" s="80"/>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87"/>
      <c r="FE17" s="87"/>
      <c r="FF17" s="87"/>
      <c r="FG17" s="87"/>
      <c r="FH17" s="87"/>
      <c r="FI17" s="87"/>
      <c r="FJ17" s="87"/>
      <c r="FK17" s="87"/>
      <c r="FL17" s="87"/>
      <c r="FM17" s="87"/>
      <c r="FN17" s="87"/>
      <c r="FO17" s="87"/>
      <c r="FP17" s="87"/>
      <c r="FQ17" s="87"/>
      <c r="FR17" s="87"/>
      <c r="FS17" s="87"/>
      <c r="FT17" s="87"/>
      <c r="FU17" s="87"/>
      <c r="FV17" s="87"/>
      <c r="FW17" s="87"/>
      <c r="FX17" s="87"/>
      <c r="FY17" s="87"/>
      <c r="FZ17" s="87"/>
      <c r="GA17" s="87"/>
      <c r="GB17" s="87"/>
      <c r="GC17" s="87"/>
      <c r="GD17" s="87"/>
      <c r="GE17" s="87"/>
      <c r="GF17" s="87"/>
      <c r="GG17" s="87"/>
      <c r="GH17" s="87"/>
      <c r="GI17" s="87"/>
      <c r="GJ17" s="87"/>
      <c r="GK17" s="87"/>
      <c r="GL17" s="87"/>
      <c r="GM17" s="87"/>
      <c r="GN17" s="87"/>
      <c r="GO17" s="87"/>
      <c r="GP17" s="87"/>
      <c r="GQ17" s="87"/>
      <c r="GR17" s="87"/>
      <c r="GS17" s="87"/>
      <c r="GT17" s="87"/>
      <c r="GU17" s="87"/>
      <c r="GV17" s="87"/>
      <c r="GW17" s="87"/>
      <c r="GX17" s="87"/>
      <c r="GY17" s="87"/>
      <c r="GZ17" s="87"/>
      <c r="HA17" s="87"/>
      <c r="HB17" s="87"/>
      <c r="HC17" s="87"/>
      <c r="HD17" s="87"/>
      <c r="HE17" s="87"/>
      <c r="HF17" s="87"/>
      <c r="HG17" s="87"/>
      <c r="HH17" s="87"/>
      <c r="HI17" s="87"/>
      <c r="HJ17" s="87"/>
      <c r="HK17" s="87"/>
      <c r="HL17" s="87"/>
      <c r="HM17" s="87"/>
      <c r="HN17" s="87"/>
      <c r="HO17" s="87"/>
      <c r="HP17" s="87"/>
      <c r="HQ17" s="87"/>
      <c r="HR17" s="87"/>
      <c r="HS17" s="87"/>
      <c r="HT17" s="87"/>
      <c r="HU17" s="87"/>
      <c r="HV17" s="87"/>
      <c r="HW17" s="87"/>
      <c r="HX17" s="87"/>
      <c r="HY17" s="87"/>
      <c r="HZ17" s="87"/>
      <c r="IA17" s="87"/>
      <c r="IB17" s="87"/>
      <c r="IC17" s="87"/>
      <c r="ID17" s="87"/>
      <c r="IE17" s="87"/>
      <c r="IF17" s="87"/>
      <c r="IG17" s="87"/>
      <c r="IH17" s="87"/>
      <c r="II17" s="87"/>
      <c r="IJ17" s="87"/>
      <c r="IK17" s="87"/>
      <c r="IL17" s="87"/>
      <c r="IM17" s="87"/>
      <c r="IN17" s="87"/>
      <c r="IO17" s="87"/>
      <c r="IP17" s="87"/>
    </row>
    <row r="18" spans="1:250">
      <c r="A18" s="89" t="str">
        <f>Database!B14</f>
        <v>Mounting Options</v>
      </c>
      <c r="B18" s="71"/>
      <c r="C18" s="71"/>
      <c r="D18" s="90"/>
      <c r="E18" s="77"/>
      <c r="F18" s="77"/>
      <c r="G18" s="81"/>
      <c r="H18" s="79"/>
      <c r="I18" s="82"/>
      <c r="J18" s="83"/>
      <c r="K18" s="79"/>
      <c r="L18" s="82"/>
      <c r="M18" s="83"/>
      <c r="N18" s="79"/>
      <c r="O18" s="80"/>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7"/>
      <c r="DI18" s="87"/>
      <c r="DJ18" s="87"/>
      <c r="DK18" s="87"/>
      <c r="DL18" s="87"/>
      <c r="DM18" s="87"/>
      <c r="DN18" s="87"/>
      <c r="DO18" s="87"/>
      <c r="DP18" s="87"/>
      <c r="DQ18" s="87"/>
      <c r="DR18" s="87"/>
      <c r="DS18" s="87"/>
      <c r="DT18" s="87"/>
      <c r="DU18" s="87"/>
      <c r="DV18" s="87"/>
      <c r="DW18" s="87"/>
      <c r="DX18" s="87"/>
      <c r="DY18" s="87"/>
      <c r="DZ18" s="87"/>
      <c r="EA18" s="87"/>
      <c r="EB18" s="87"/>
      <c r="EC18" s="87"/>
      <c r="ED18" s="87"/>
      <c r="EE18" s="87"/>
      <c r="EF18" s="87"/>
      <c r="EG18" s="87"/>
      <c r="EH18" s="87"/>
      <c r="EI18" s="87"/>
      <c r="EJ18" s="87"/>
      <c r="EK18" s="87"/>
      <c r="EL18" s="87"/>
      <c r="EM18" s="87"/>
      <c r="EN18" s="87"/>
      <c r="EO18" s="87"/>
      <c r="EP18" s="87"/>
      <c r="EQ18" s="87"/>
      <c r="ER18" s="87"/>
      <c r="ES18" s="87"/>
      <c r="ET18" s="87"/>
      <c r="EU18" s="87"/>
      <c r="EV18" s="87"/>
      <c r="EW18" s="87"/>
      <c r="EX18" s="87"/>
      <c r="EY18" s="87"/>
      <c r="EZ18" s="87"/>
      <c r="FA18" s="87"/>
      <c r="FB18" s="87"/>
      <c r="FC18" s="87"/>
      <c r="FD18" s="87"/>
      <c r="FE18" s="87"/>
      <c r="FF18" s="87"/>
      <c r="FG18" s="87"/>
      <c r="FH18" s="87"/>
      <c r="FI18" s="87"/>
      <c r="FJ18" s="87"/>
      <c r="FK18" s="87"/>
      <c r="FL18" s="87"/>
      <c r="FM18" s="87"/>
      <c r="FN18" s="87"/>
      <c r="FO18" s="87"/>
      <c r="FP18" s="87"/>
      <c r="FQ18" s="87"/>
      <c r="FR18" s="87"/>
      <c r="FS18" s="87"/>
      <c r="FT18" s="87"/>
      <c r="FU18" s="87"/>
      <c r="FV18" s="87"/>
      <c r="FW18" s="87"/>
      <c r="FX18" s="87"/>
      <c r="FY18" s="87"/>
      <c r="FZ18" s="87"/>
      <c r="GA18" s="87"/>
      <c r="GB18" s="87"/>
      <c r="GC18" s="87"/>
      <c r="GD18" s="87"/>
      <c r="GE18" s="87"/>
      <c r="GF18" s="87"/>
      <c r="GG18" s="87"/>
      <c r="GH18" s="87"/>
      <c r="GI18" s="87"/>
      <c r="GJ18" s="87"/>
      <c r="GK18" s="87"/>
      <c r="GL18" s="87"/>
      <c r="GM18" s="87"/>
      <c r="GN18" s="87"/>
      <c r="GO18" s="87"/>
      <c r="GP18" s="87"/>
      <c r="GQ18" s="87"/>
      <c r="GR18" s="87"/>
      <c r="GS18" s="87"/>
      <c r="GT18" s="87"/>
      <c r="GU18" s="87"/>
      <c r="GV18" s="87"/>
      <c r="GW18" s="87"/>
      <c r="GX18" s="87"/>
      <c r="GY18" s="87"/>
      <c r="GZ18" s="87"/>
      <c r="HA18" s="87"/>
      <c r="HB18" s="87"/>
      <c r="HC18" s="87"/>
      <c r="HD18" s="87"/>
      <c r="HE18" s="87"/>
      <c r="HF18" s="87"/>
      <c r="HG18" s="87"/>
      <c r="HH18" s="87"/>
      <c r="HI18" s="87"/>
      <c r="HJ18" s="87"/>
      <c r="HK18" s="87"/>
      <c r="HL18" s="87"/>
      <c r="HM18" s="87"/>
      <c r="HN18" s="87"/>
      <c r="HO18" s="87"/>
      <c r="HP18" s="87"/>
      <c r="HQ18" s="87"/>
      <c r="HR18" s="87"/>
      <c r="HS18" s="87"/>
      <c r="HT18" s="87"/>
      <c r="HU18" s="87"/>
      <c r="HV18" s="87"/>
      <c r="HW18" s="87"/>
      <c r="HX18" s="87"/>
      <c r="HY18" s="87"/>
      <c r="HZ18" s="87"/>
      <c r="IA18" s="87"/>
      <c r="IB18" s="87"/>
      <c r="IC18" s="87"/>
      <c r="ID18" s="87"/>
      <c r="IE18" s="87"/>
      <c r="IF18" s="87"/>
      <c r="IG18" s="87"/>
      <c r="IH18" s="87"/>
      <c r="II18" s="87"/>
      <c r="IJ18" s="87"/>
      <c r="IK18" s="87"/>
      <c r="IL18" s="87"/>
      <c r="IM18" s="87"/>
      <c r="IN18" s="87"/>
      <c r="IO18" s="87"/>
      <c r="IP18" s="87"/>
    </row>
    <row r="19" spans="1:250">
      <c r="A19" s="84" t="str">
        <f ca="1">Database!E15</f>
        <v>19” Rack Mount / Rear Mount</v>
      </c>
      <c r="B19" s="85"/>
      <c r="C19" s="85"/>
      <c r="D19" s="88"/>
      <c r="E19" s="78"/>
      <c r="F19" s="78"/>
      <c r="G19" s="91" t="str">
        <f ca="1">Database!F15</f>
        <v>P</v>
      </c>
      <c r="H19" s="79"/>
      <c r="I19" s="82"/>
      <c r="J19" s="83"/>
      <c r="K19" s="79"/>
      <c r="L19" s="82"/>
      <c r="M19" s="83"/>
      <c r="N19" s="79"/>
      <c r="O19" s="80"/>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87"/>
      <c r="CV19" s="87"/>
      <c r="CW19" s="87"/>
      <c r="CX19" s="87"/>
      <c r="CY19" s="87"/>
      <c r="CZ19" s="87"/>
      <c r="DA19" s="87"/>
      <c r="DB19" s="87"/>
      <c r="DC19" s="87"/>
      <c r="DD19" s="87"/>
      <c r="DE19" s="87"/>
      <c r="DF19" s="87"/>
      <c r="DG19" s="87"/>
      <c r="DH19" s="87"/>
      <c r="DI19" s="87"/>
      <c r="DJ19" s="87"/>
      <c r="DK19" s="87"/>
      <c r="DL19" s="87"/>
      <c r="DM19" s="87"/>
      <c r="DN19" s="87"/>
      <c r="DO19" s="87"/>
      <c r="DP19" s="87"/>
      <c r="DQ19" s="87"/>
      <c r="DR19" s="87"/>
      <c r="DS19" s="87"/>
      <c r="DT19" s="87"/>
      <c r="DU19" s="87"/>
      <c r="DV19" s="87"/>
      <c r="DW19" s="87"/>
      <c r="DX19" s="87"/>
      <c r="DY19" s="87"/>
      <c r="DZ19" s="87"/>
      <c r="EA19" s="87"/>
      <c r="EB19" s="87"/>
      <c r="EC19" s="87"/>
      <c r="ED19" s="87"/>
      <c r="EE19" s="87"/>
      <c r="EF19" s="87"/>
      <c r="EG19" s="87"/>
      <c r="EH19" s="87"/>
      <c r="EI19" s="87"/>
      <c r="EJ19" s="87"/>
      <c r="EK19" s="87"/>
      <c r="EL19" s="87"/>
      <c r="EM19" s="87"/>
      <c r="EN19" s="87"/>
      <c r="EO19" s="87"/>
      <c r="EP19" s="87"/>
      <c r="EQ19" s="87"/>
      <c r="ER19" s="87"/>
      <c r="ES19" s="87"/>
      <c r="ET19" s="87"/>
      <c r="EU19" s="87"/>
      <c r="EV19" s="87"/>
      <c r="EW19" s="87"/>
      <c r="EX19" s="87"/>
      <c r="EY19" s="87"/>
      <c r="EZ19" s="87"/>
      <c r="FA19" s="87"/>
      <c r="FB19" s="87"/>
      <c r="FC19" s="87"/>
      <c r="FD19" s="87"/>
      <c r="FE19" s="87"/>
      <c r="FF19" s="87"/>
      <c r="FG19" s="87"/>
      <c r="FH19" s="87"/>
      <c r="FI19" s="87"/>
      <c r="FJ19" s="87"/>
      <c r="FK19" s="87"/>
      <c r="FL19" s="87"/>
      <c r="FM19" s="87"/>
      <c r="FN19" s="87"/>
      <c r="FO19" s="87"/>
      <c r="FP19" s="87"/>
      <c r="FQ19" s="87"/>
      <c r="FR19" s="87"/>
      <c r="FS19" s="87"/>
      <c r="FT19" s="87"/>
      <c r="FU19" s="87"/>
      <c r="FV19" s="87"/>
      <c r="FW19" s="87"/>
      <c r="FX19" s="87"/>
      <c r="FY19" s="87"/>
      <c r="FZ19" s="87"/>
      <c r="GA19" s="87"/>
      <c r="GB19" s="87"/>
      <c r="GC19" s="87"/>
      <c r="GD19" s="87"/>
      <c r="GE19" s="87"/>
      <c r="GF19" s="87"/>
      <c r="GG19" s="87"/>
      <c r="GH19" s="87"/>
      <c r="GI19" s="87"/>
      <c r="GJ19" s="87"/>
      <c r="GK19" s="87"/>
      <c r="GL19" s="87"/>
      <c r="GM19" s="87"/>
      <c r="GN19" s="87"/>
      <c r="GO19" s="87"/>
      <c r="GP19" s="87"/>
      <c r="GQ19" s="87"/>
      <c r="GR19" s="87"/>
      <c r="GS19" s="87"/>
      <c r="GT19" s="87"/>
      <c r="GU19" s="87"/>
      <c r="GV19" s="87"/>
      <c r="GW19" s="87"/>
      <c r="GX19" s="87"/>
      <c r="GY19" s="87"/>
      <c r="GZ19" s="87"/>
      <c r="HA19" s="87"/>
      <c r="HB19" s="87"/>
      <c r="HC19" s="87"/>
      <c r="HD19" s="87"/>
      <c r="HE19" s="87"/>
      <c r="HF19" s="87"/>
      <c r="HG19" s="87"/>
      <c r="HH19" s="87"/>
      <c r="HI19" s="87"/>
      <c r="HJ19" s="87"/>
      <c r="HK19" s="87"/>
      <c r="HL19" s="87"/>
      <c r="HM19" s="87"/>
      <c r="HN19" s="87"/>
      <c r="HO19" s="87"/>
      <c r="HP19" s="87"/>
      <c r="HQ19" s="87"/>
      <c r="HR19" s="87"/>
      <c r="HS19" s="87"/>
      <c r="HT19" s="87"/>
      <c r="HU19" s="87"/>
      <c r="HV19" s="87"/>
      <c r="HW19" s="87"/>
      <c r="HX19" s="87"/>
      <c r="HY19" s="87"/>
      <c r="HZ19" s="87"/>
      <c r="IA19" s="87"/>
      <c r="IB19" s="87"/>
      <c r="IC19" s="87"/>
      <c r="ID19" s="87"/>
      <c r="IE19" s="87"/>
      <c r="IF19" s="87"/>
      <c r="IG19" s="87"/>
      <c r="IH19" s="87"/>
      <c r="II19" s="87"/>
      <c r="IJ19" s="87"/>
      <c r="IK19" s="87"/>
      <c r="IL19" s="87"/>
      <c r="IM19" s="87"/>
      <c r="IN19" s="87"/>
      <c r="IO19" s="87"/>
      <c r="IP19" s="87"/>
    </row>
    <row r="20" spans="1:250">
      <c r="A20" s="84"/>
      <c r="B20" s="85"/>
      <c r="C20" s="85"/>
      <c r="D20" s="88"/>
      <c r="E20" s="78"/>
      <c r="F20" s="78"/>
      <c r="G20" s="78"/>
      <c r="H20" s="79"/>
      <c r="I20" s="82"/>
      <c r="J20" s="83"/>
      <c r="K20" s="79"/>
      <c r="L20" s="82"/>
      <c r="M20" s="83"/>
      <c r="N20" s="79"/>
      <c r="O20" s="80"/>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c r="CD20" s="87"/>
      <c r="CE20" s="87"/>
      <c r="CF20" s="87"/>
      <c r="CG20" s="87"/>
      <c r="CH20" s="87"/>
      <c r="CI20" s="87"/>
      <c r="CJ20" s="87"/>
      <c r="CK20" s="87"/>
      <c r="CL20" s="87"/>
      <c r="CM20" s="87"/>
      <c r="CN20" s="87"/>
      <c r="CO20" s="87"/>
      <c r="CP20" s="87"/>
      <c r="CQ20" s="87"/>
      <c r="CR20" s="87"/>
      <c r="CS20" s="87"/>
      <c r="CT20" s="87"/>
      <c r="CU20" s="87"/>
      <c r="CV20" s="87"/>
      <c r="CW20" s="87"/>
      <c r="CX20" s="87"/>
      <c r="CY20" s="87"/>
      <c r="CZ20" s="87"/>
      <c r="DA20" s="87"/>
      <c r="DB20" s="87"/>
      <c r="DC20" s="87"/>
      <c r="DD20" s="87"/>
      <c r="DE20" s="87"/>
      <c r="DF20" s="87"/>
      <c r="DG20" s="87"/>
      <c r="DH20" s="87"/>
      <c r="DI20" s="87"/>
      <c r="DJ20" s="87"/>
      <c r="DK20" s="87"/>
      <c r="DL20" s="87"/>
      <c r="DM20" s="87"/>
      <c r="DN20" s="87"/>
      <c r="DO20" s="87"/>
      <c r="DP20" s="87"/>
      <c r="DQ20" s="87"/>
      <c r="DR20" s="87"/>
      <c r="DS20" s="87"/>
      <c r="DT20" s="87"/>
      <c r="DU20" s="87"/>
      <c r="DV20" s="87"/>
      <c r="DW20" s="87"/>
      <c r="DX20" s="87"/>
      <c r="DY20" s="87"/>
      <c r="DZ20" s="87"/>
      <c r="EA20" s="87"/>
      <c r="EB20" s="87"/>
      <c r="EC20" s="87"/>
      <c r="ED20" s="87"/>
      <c r="EE20" s="87"/>
      <c r="EF20" s="87"/>
      <c r="EG20" s="87"/>
      <c r="EH20" s="87"/>
      <c r="EI20" s="87"/>
      <c r="EJ20" s="87"/>
      <c r="EK20" s="87"/>
      <c r="EL20" s="87"/>
      <c r="EM20" s="87"/>
      <c r="EN20" s="87"/>
      <c r="EO20" s="87"/>
      <c r="EP20" s="87"/>
      <c r="EQ20" s="87"/>
      <c r="ER20" s="87"/>
      <c r="ES20" s="87"/>
      <c r="ET20" s="87"/>
      <c r="EU20" s="87"/>
      <c r="EV20" s="87"/>
      <c r="EW20" s="87"/>
      <c r="EX20" s="87"/>
      <c r="EY20" s="87"/>
      <c r="EZ20" s="87"/>
      <c r="FA20" s="87"/>
      <c r="FB20" s="87"/>
      <c r="FC20" s="87"/>
      <c r="FD20" s="87"/>
      <c r="FE20" s="87"/>
      <c r="FF20" s="87"/>
      <c r="FG20" s="87"/>
      <c r="FH20" s="87"/>
      <c r="FI20" s="87"/>
      <c r="FJ20" s="87"/>
      <c r="FK20" s="87"/>
      <c r="FL20" s="87"/>
      <c r="FM20" s="87"/>
      <c r="FN20" s="87"/>
      <c r="FO20" s="87"/>
      <c r="FP20" s="87"/>
      <c r="FQ20" s="87"/>
      <c r="FR20" s="87"/>
      <c r="FS20" s="87"/>
      <c r="FT20" s="87"/>
      <c r="FU20" s="87"/>
      <c r="FV20" s="87"/>
      <c r="FW20" s="87"/>
      <c r="FX20" s="87"/>
      <c r="FY20" s="87"/>
      <c r="FZ20" s="87"/>
      <c r="GA20" s="87"/>
      <c r="GB20" s="87"/>
      <c r="GC20" s="87"/>
      <c r="GD20" s="87"/>
      <c r="GE20" s="87"/>
      <c r="GF20" s="87"/>
      <c r="GG20" s="87"/>
      <c r="GH20" s="87"/>
      <c r="GI20" s="87"/>
      <c r="GJ20" s="87"/>
      <c r="GK20" s="87"/>
      <c r="GL20" s="87"/>
      <c r="GM20" s="87"/>
      <c r="GN20" s="87"/>
      <c r="GO20" s="87"/>
      <c r="GP20" s="87"/>
      <c r="GQ20" s="87"/>
      <c r="GR20" s="87"/>
      <c r="GS20" s="87"/>
      <c r="GT20" s="87"/>
      <c r="GU20" s="87"/>
      <c r="GV20" s="87"/>
      <c r="GW20" s="87"/>
      <c r="GX20" s="87"/>
      <c r="GY20" s="87"/>
      <c r="GZ20" s="87"/>
      <c r="HA20" s="87"/>
      <c r="HB20" s="87"/>
      <c r="HC20" s="87"/>
      <c r="HD20" s="87"/>
      <c r="HE20" s="87"/>
      <c r="HF20" s="87"/>
      <c r="HG20" s="87"/>
      <c r="HH20" s="87"/>
      <c r="HI20" s="87"/>
      <c r="HJ20" s="87"/>
      <c r="HK20" s="87"/>
      <c r="HL20" s="87"/>
      <c r="HM20" s="87"/>
      <c r="HN20" s="87"/>
      <c r="HO20" s="87"/>
      <c r="HP20" s="87"/>
      <c r="HQ20" s="87"/>
      <c r="HR20" s="87"/>
      <c r="HS20" s="87"/>
      <c r="HT20" s="87"/>
      <c r="HU20" s="87"/>
      <c r="HV20" s="87"/>
      <c r="HW20" s="87"/>
      <c r="HX20" s="87"/>
      <c r="HY20" s="87"/>
      <c r="HZ20" s="87"/>
      <c r="IA20" s="87"/>
      <c r="IB20" s="87"/>
      <c r="IC20" s="87"/>
      <c r="ID20" s="87"/>
      <c r="IE20" s="87"/>
      <c r="IF20" s="87"/>
      <c r="IG20" s="87"/>
      <c r="IH20" s="87"/>
      <c r="II20" s="87"/>
      <c r="IJ20" s="87"/>
      <c r="IK20" s="87"/>
      <c r="IL20" s="87"/>
      <c r="IM20" s="87"/>
      <c r="IN20" s="87"/>
      <c r="IO20" s="87"/>
      <c r="IP20" s="87"/>
    </row>
    <row r="21" spans="1:250">
      <c r="A21" s="89" t="str">
        <f>Database!B18</f>
        <v>Interface Module 1</v>
      </c>
      <c r="B21" s="71"/>
      <c r="C21" s="71"/>
      <c r="D21" s="90"/>
      <c r="E21" s="77"/>
      <c r="F21" s="77"/>
      <c r="G21" s="77"/>
      <c r="H21" s="79"/>
      <c r="I21" s="82"/>
      <c r="J21" s="83"/>
      <c r="K21" s="79"/>
      <c r="L21" s="82"/>
      <c r="M21" s="83"/>
      <c r="N21" s="79"/>
      <c r="O21" s="80"/>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c r="CN21" s="87"/>
      <c r="CO21" s="87"/>
      <c r="CP21" s="87"/>
      <c r="CQ21" s="87"/>
      <c r="CR21" s="87"/>
      <c r="CS21" s="87"/>
      <c r="CT21" s="87"/>
      <c r="CU21" s="87"/>
      <c r="CV21" s="87"/>
      <c r="CW21" s="87"/>
      <c r="CX21" s="87"/>
      <c r="CY21" s="87"/>
      <c r="CZ21" s="87"/>
      <c r="DA21" s="87"/>
      <c r="DB21" s="87"/>
      <c r="DC21" s="87"/>
      <c r="DD21" s="87"/>
      <c r="DE21" s="87"/>
      <c r="DF21" s="87"/>
      <c r="DG21" s="87"/>
      <c r="DH21" s="87"/>
      <c r="DI21" s="87"/>
      <c r="DJ21" s="87"/>
      <c r="DK21" s="87"/>
      <c r="DL21" s="87"/>
      <c r="DM21" s="87"/>
      <c r="DN21" s="87"/>
      <c r="DO21" s="87"/>
      <c r="DP21" s="87"/>
      <c r="DQ21" s="87"/>
      <c r="DR21" s="87"/>
      <c r="DS21" s="87"/>
      <c r="DT21" s="87"/>
      <c r="DU21" s="87"/>
      <c r="DV21" s="87"/>
      <c r="DW21" s="87"/>
      <c r="DX21" s="87"/>
      <c r="DY21" s="87"/>
      <c r="DZ21" s="87"/>
      <c r="EA21" s="87"/>
      <c r="EB21" s="87"/>
      <c r="EC21" s="87"/>
      <c r="ED21" s="87"/>
      <c r="EE21" s="87"/>
      <c r="EF21" s="87"/>
      <c r="EG21" s="87"/>
      <c r="EH21" s="87"/>
      <c r="EI21" s="87"/>
      <c r="EJ21" s="87"/>
      <c r="EK21" s="87"/>
      <c r="EL21" s="87"/>
      <c r="EM21" s="87"/>
      <c r="EN21" s="87"/>
      <c r="EO21" s="87"/>
      <c r="EP21" s="87"/>
      <c r="EQ21" s="87"/>
      <c r="ER21" s="87"/>
      <c r="ES21" s="87"/>
      <c r="ET21" s="87"/>
      <c r="EU21" s="87"/>
      <c r="EV21" s="87"/>
      <c r="EW21" s="87"/>
      <c r="EX21" s="87"/>
      <c r="EY21" s="87"/>
      <c r="EZ21" s="87"/>
      <c r="FA21" s="87"/>
      <c r="FB21" s="87"/>
      <c r="FC21" s="87"/>
      <c r="FD21" s="87"/>
      <c r="FE21" s="87"/>
      <c r="FF21" s="87"/>
      <c r="FG21" s="87"/>
      <c r="FH21" s="87"/>
      <c r="FI21" s="87"/>
      <c r="FJ21" s="87"/>
      <c r="FK21" s="87"/>
      <c r="FL21" s="87"/>
      <c r="FM21" s="87"/>
      <c r="FN21" s="87"/>
      <c r="FO21" s="87"/>
      <c r="FP21" s="87"/>
      <c r="FQ21" s="87"/>
      <c r="FR21" s="87"/>
      <c r="FS21" s="87"/>
      <c r="FT21" s="87"/>
      <c r="FU21" s="87"/>
      <c r="FV21" s="87"/>
      <c r="FW21" s="87"/>
      <c r="FX21" s="87"/>
      <c r="FY21" s="87"/>
      <c r="FZ21" s="87"/>
      <c r="GA21" s="87"/>
      <c r="GB21" s="87"/>
      <c r="GC21" s="87"/>
      <c r="GD21" s="87"/>
      <c r="GE21" s="87"/>
      <c r="GF21" s="87"/>
      <c r="GG21" s="87"/>
      <c r="GH21" s="87"/>
      <c r="GI21" s="87"/>
      <c r="GJ21" s="87"/>
      <c r="GK21" s="87"/>
      <c r="GL21" s="87"/>
      <c r="GM21" s="87"/>
      <c r="GN21" s="87"/>
      <c r="GO21" s="87"/>
      <c r="GP21" s="87"/>
      <c r="GQ21" s="87"/>
      <c r="GR21" s="87"/>
      <c r="GS21" s="87"/>
      <c r="GT21" s="87"/>
      <c r="GU21" s="87"/>
      <c r="GV21" s="87"/>
      <c r="GW21" s="87"/>
      <c r="GX21" s="87"/>
      <c r="GY21" s="87"/>
      <c r="GZ21" s="87"/>
      <c r="HA21" s="87"/>
      <c r="HB21" s="87"/>
      <c r="HC21" s="87"/>
      <c r="HD21" s="87"/>
      <c r="HE21" s="87"/>
      <c r="HF21" s="87"/>
      <c r="HG21" s="87"/>
      <c r="HH21" s="87"/>
      <c r="HI21" s="87"/>
      <c r="HJ21" s="87"/>
      <c r="HK21" s="87"/>
      <c r="HL21" s="87"/>
      <c r="HM21" s="87"/>
      <c r="HN21" s="87"/>
      <c r="HO21" s="87"/>
      <c r="HP21" s="87"/>
      <c r="HQ21" s="87"/>
      <c r="HR21" s="87"/>
      <c r="HS21" s="87"/>
      <c r="HT21" s="87"/>
      <c r="HU21" s="87"/>
      <c r="HV21" s="87"/>
      <c r="HW21" s="87"/>
      <c r="HX21" s="87"/>
      <c r="HY21" s="87"/>
      <c r="HZ21" s="87"/>
      <c r="IA21" s="87"/>
      <c r="IB21" s="87"/>
      <c r="IC21" s="87"/>
      <c r="ID21" s="87"/>
      <c r="IE21" s="87"/>
      <c r="IF21" s="87"/>
      <c r="IG21" s="87"/>
      <c r="IH21" s="87"/>
      <c r="II21" s="87"/>
      <c r="IJ21" s="87"/>
      <c r="IK21" s="87"/>
      <c r="IL21" s="87"/>
      <c r="IM21" s="87"/>
      <c r="IN21" s="87"/>
      <c r="IO21" s="87"/>
      <c r="IP21" s="87"/>
    </row>
    <row r="22" spans="1:250">
      <c r="A22" s="84" t="str">
        <f ca="1">Database!E19</f>
        <v>Four 1 Gbps RJ45 copper 10/100BASE-TX/1000BASE-T Ethernet ports</v>
      </c>
      <c r="B22" s="85"/>
      <c r="C22" s="85"/>
      <c r="D22" s="88"/>
      <c r="E22" s="78"/>
      <c r="F22" s="78"/>
      <c r="G22" s="78"/>
      <c r="H22" s="91" t="str">
        <f ca="1">Database!F19</f>
        <v>A</v>
      </c>
      <c r="I22" s="82"/>
      <c r="J22" s="83"/>
      <c r="K22" s="79"/>
      <c r="L22" s="82"/>
      <c r="M22" s="83"/>
      <c r="N22" s="79"/>
      <c r="O22" s="80"/>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87"/>
      <c r="CV22" s="87"/>
      <c r="CW22" s="87"/>
      <c r="CX22" s="87"/>
      <c r="CY22" s="87"/>
      <c r="CZ22" s="87"/>
      <c r="DA22" s="87"/>
      <c r="DB22" s="87"/>
      <c r="DC22" s="87"/>
      <c r="DD22" s="87"/>
      <c r="DE22" s="87"/>
      <c r="DF22" s="87"/>
      <c r="DG22" s="87"/>
      <c r="DH22" s="87"/>
      <c r="DI22" s="87"/>
      <c r="DJ22" s="87"/>
      <c r="DK22" s="87"/>
      <c r="DL22" s="87"/>
      <c r="DM22" s="87"/>
      <c r="DN22" s="87"/>
      <c r="DO22" s="87"/>
      <c r="DP22" s="87"/>
      <c r="DQ22" s="87"/>
      <c r="DR22" s="87"/>
      <c r="DS22" s="87"/>
      <c r="DT22" s="87"/>
      <c r="DU22" s="87"/>
      <c r="DV22" s="87"/>
      <c r="DW22" s="87"/>
      <c r="DX22" s="87"/>
      <c r="DY22" s="87"/>
      <c r="DZ22" s="87"/>
      <c r="EA22" s="87"/>
      <c r="EB22" s="87"/>
      <c r="EC22" s="87"/>
      <c r="ED22" s="87"/>
      <c r="EE22" s="87"/>
      <c r="EF22" s="87"/>
      <c r="EG22" s="87"/>
      <c r="EH22" s="87"/>
      <c r="EI22" s="87"/>
      <c r="EJ22" s="87"/>
      <c r="EK22" s="87"/>
      <c r="EL22" s="87"/>
      <c r="EM22" s="87"/>
      <c r="EN22" s="87"/>
      <c r="EO22" s="87"/>
      <c r="EP22" s="87"/>
      <c r="EQ22" s="87"/>
      <c r="ER22" s="87"/>
      <c r="ES22" s="87"/>
      <c r="ET22" s="87"/>
      <c r="EU22" s="87"/>
      <c r="EV22" s="87"/>
      <c r="EW22" s="87"/>
      <c r="EX22" s="87"/>
      <c r="EY22" s="87"/>
      <c r="EZ22" s="87"/>
      <c r="FA22" s="87"/>
      <c r="FB22" s="87"/>
      <c r="FC22" s="87"/>
      <c r="FD22" s="87"/>
      <c r="FE22" s="87"/>
      <c r="FF22" s="87"/>
      <c r="FG22" s="87"/>
      <c r="FH22" s="87"/>
      <c r="FI22" s="87"/>
      <c r="FJ22" s="87"/>
      <c r="FK22" s="87"/>
      <c r="FL22" s="87"/>
      <c r="FM22" s="87"/>
      <c r="FN22" s="87"/>
      <c r="FO22" s="87"/>
      <c r="FP22" s="87"/>
      <c r="FQ22" s="87"/>
      <c r="FR22" s="87"/>
      <c r="FS22" s="87"/>
      <c r="FT22" s="87"/>
      <c r="FU22" s="87"/>
      <c r="FV22" s="87"/>
      <c r="FW22" s="87"/>
      <c r="FX22" s="87"/>
      <c r="FY22" s="87"/>
      <c r="FZ22" s="87"/>
      <c r="GA22" s="87"/>
      <c r="GB22" s="87"/>
      <c r="GC22" s="87"/>
      <c r="GD22" s="87"/>
      <c r="GE22" s="87"/>
      <c r="GF22" s="87"/>
      <c r="GG22" s="87"/>
      <c r="GH22" s="87"/>
      <c r="GI22" s="87"/>
      <c r="GJ22" s="87"/>
      <c r="GK22" s="87"/>
      <c r="GL22" s="87"/>
      <c r="GM22" s="87"/>
      <c r="GN22" s="87"/>
      <c r="GO22" s="87"/>
      <c r="GP22" s="87"/>
      <c r="GQ22" s="87"/>
      <c r="GR22" s="87"/>
      <c r="GS22" s="87"/>
      <c r="GT22" s="87"/>
      <c r="GU22" s="87"/>
      <c r="GV22" s="87"/>
      <c r="GW22" s="87"/>
      <c r="GX22" s="87"/>
      <c r="GY22" s="87"/>
      <c r="GZ22" s="87"/>
      <c r="HA22" s="87"/>
      <c r="HB22" s="87"/>
      <c r="HC22" s="87"/>
      <c r="HD22" s="87"/>
      <c r="HE22" s="87"/>
      <c r="HF22" s="87"/>
      <c r="HG22" s="87"/>
      <c r="HH22" s="87"/>
      <c r="HI22" s="87"/>
      <c r="HJ22" s="87"/>
      <c r="HK22" s="87"/>
      <c r="HL22" s="87"/>
      <c r="HM22" s="87"/>
      <c r="HN22" s="87"/>
      <c r="HO22" s="87"/>
      <c r="HP22" s="87"/>
      <c r="HQ22" s="87"/>
      <c r="HR22" s="87"/>
      <c r="HS22" s="87"/>
      <c r="HT22" s="87"/>
      <c r="HU22" s="87"/>
      <c r="HV22" s="87"/>
      <c r="HW22" s="87"/>
      <c r="HX22" s="87"/>
      <c r="HY22" s="87"/>
      <c r="HZ22" s="87"/>
      <c r="IA22" s="87"/>
      <c r="IB22" s="87"/>
      <c r="IC22" s="87"/>
      <c r="ID22" s="87"/>
      <c r="IE22" s="87"/>
      <c r="IF22" s="87"/>
      <c r="IG22" s="87"/>
      <c r="IH22" s="87"/>
      <c r="II22" s="87"/>
      <c r="IJ22" s="87"/>
      <c r="IK22" s="87"/>
      <c r="IL22" s="87"/>
      <c r="IM22" s="87"/>
      <c r="IN22" s="87"/>
      <c r="IO22" s="87"/>
      <c r="IP22" s="87"/>
    </row>
    <row r="23" spans="1:250">
      <c r="A23" s="84" t="str">
        <f ca="1">Database!E20</f>
        <v>Four slots for SFP transceivers</v>
      </c>
      <c r="B23" s="85"/>
      <c r="C23" s="85"/>
      <c r="D23" s="88"/>
      <c r="E23" s="78"/>
      <c r="F23" s="78"/>
      <c r="G23" s="78"/>
      <c r="H23" s="91" t="str">
        <f ca="1">Database!F20</f>
        <v>B</v>
      </c>
      <c r="I23" s="82"/>
      <c r="J23" s="83"/>
      <c r="K23" s="79"/>
      <c r="L23" s="82"/>
      <c r="M23" s="83"/>
      <c r="N23" s="79"/>
      <c r="O23" s="80"/>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87"/>
      <c r="CV23" s="87"/>
      <c r="CW23" s="87"/>
      <c r="CX23" s="87"/>
      <c r="CY23" s="87"/>
      <c r="CZ23" s="87"/>
      <c r="DA23" s="87"/>
      <c r="DB23" s="87"/>
      <c r="DC23" s="87"/>
      <c r="DD23" s="87"/>
      <c r="DE23" s="87"/>
      <c r="DF23" s="87"/>
      <c r="DG23" s="87"/>
      <c r="DH23" s="87"/>
      <c r="DI23" s="87"/>
      <c r="DJ23" s="87"/>
      <c r="DK23" s="87"/>
      <c r="DL23" s="87"/>
      <c r="DM23" s="87"/>
      <c r="DN23" s="87"/>
      <c r="DO23" s="87"/>
      <c r="DP23" s="87"/>
      <c r="DQ23" s="87"/>
      <c r="DR23" s="87"/>
      <c r="DS23" s="87"/>
      <c r="DT23" s="87"/>
      <c r="DU23" s="87"/>
      <c r="DV23" s="87"/>
      <c r="DW23" s="87"/>
      <c r="DX23" s="87"/>
      <c r="DY23" s="87"/>
      <c r="DZ23" s="87"/>
      <c r="EA23" s="87"/>
      <c r="EB23" s="87"/>
      <c r="EC23" s="87"/>
      <c r="ED23" s="87"/>
      <c r="EE23" s="87"/>
      <c r="EF23" s="87"/>
      <c r="EG23" s="87"/>
      <c r="EH23" s="87"/>
      <c r="EI23" s="87"/>
      <c r="EJ23" s="87"/>
      <c r="EK23" s="87"/>
      <c r="EL23" s="87"/>
      <c r="EM23" s="87"/>
      <c r="EN23" s="87"/>
      <c r="EO23" s="87"/>
      <c r="EP23" s="87"/>
      <c r="EQ23" s="87"/>
      <c r="ER23" s="87"/>
      <c r="ES23" s="87"/>
      <c r="ET23" s="87"/>
      <c r="EU23" s="87"/>
      <c r="EV23" s="87"/>
      <c r="EW23" s="87"/>
      <c r="EX23" s="87"/>
      <c r="EY23" s="87"/>
      <c r="EZ23" s="87"/>
      <c r="FA23" s="87"/>
      <c r="FB23" s="87"/>
      <c r="FC23" s="87"/>
      <c r="FD23" s="87"/>
      <c r="FE23" s="87"/>
      <c r="FF23" s="87"/>
      <c r="FG23" s="87"/>
      <c r="FH23" s="87"/>
      <c r="FI23" s="87"/>
      <c r="FJ23" s="87"/>
      <c r="FK23" s="87"/>
      <c r="FL23" s="87"/>
      <c r="FM23" s="87"/>
      <c r="FN23" s="87"/>
      <c r="FO23" s="87"/>
      <c r="FP23" s="87"/>
      <c r="FQ23" s="87"/>
      <c r="FR23" s="87"/>
      <c r="FS23" s="87"/>
      <c r="FT23" s="87"/>
      <c r="FU23" s="87"/>
      <c r="FV23" s="87"/>
      <c r="FW23" s="87"/>
      <c r="FX23" s="87"/>
      <c r="FY23" s="87"/>
      <c r="FZ23" s="87"/>
      <c r="GA23" s="87"/>
      <c r="GB23" s="87"/>
      <c r="GC23" s="87"/>
      <c r="GD23" s="87"/>
      <c r="GE23" s="87"/>
      <c r="GF23" s="87"/>
      <c r="GG23" s="87"/>
      <c r="GH23" s="87"/>
      <c r="GI23" s="87"/>
      <c r="GJ23" s="87"/>
      <c r="GK23" s="87"/>
      <c r="GL23" s="87"/>
      <c r="GM23" s="87"/>
      <c r="GN23" s="87"/>
      <c r="GO23" s="87"/>
      <c r="GP23" s="87"/>
      <c r="GQ23" s="87"/>
      <c r="GR23" s="87"/>
      <c r="GS23" s="87"/>
      <c r="GT23" s="87"/>
      <c r="GU23" s="87"/>
      <c r="GV23" s="87"/>
      <c r="GW23" s="87"/>
      <c r="GX23" s="87"/>
      <c r="GY23" s="87"/>
      <c r="GZ23" s="87"/>
      <c r="HA23" s="87"/>
      <c r="HB23" s="87"/>
      <c r="HC23" s="87"/>
      <c r="HD23" s="87"/>
      <c r="HE23" s="87"/>
      <c r="HF23" s="87"/>
      <c r="HG23" s="87"/>
      <c r="HH23" s="87"/>
      <c r="HI23" s="87"/>
      <c r="HJ23" s="87"/>
      <c r="HK23" s="87"/>
      <c r="HL23" s="87"/>
      <c r="HM23" s="87"/>
      <c r="HN23" s="87"/>
      <c r="HO23" s="87"/>
      <c r="HP23" s="87"/>
      <c r="HQ23" s="87"/>
      <c r="HR23" s="87"/>
      <c r="HS23" s="87"/>
      <c r="HT23" s="87"/>
      <c r="HU23" s="87"/>
      <c r="HV23" s="87"/>
      <c r="HW23" s="87"/>
      <c r="HX23" s="87"/>
      <c r="HY23" s="87"/>
      <c r="HZ23" s="87"/>
      <c r="IA23" s="87"/>
      <c r="IB23" s="87"/>
      <c r="IC23" s="87"/>
      <c r="ID23" s="87"/>
      <c r="IE23" s="87"/>
      <c r="IF23" s="87"/>
      <c r="IG23" s="87"/>
      <c r="IH23" s="87"/>
      <c r="II23" s="87"/>
      <c r="IJ23" s="87"/>
      <c r="IK23" s="87"/>
      <c r="IL23" s="87"/>
      <c r="IM23" s="87"/>
      <c r="IN23" s="87"/>
      <c r="IO23" s="87"/>
      <c r="IP23" s="87"/>
    </row>
    <row r="24" spans="1:250">
      <c r="A24" s="84" t="str">
        <f ca="1">Database!E21</f>
        <v>Four 1 Gbps LC-type connector multi mode fiber 1000BASE-SX Ethernet for up to 0.5 km</v>
      </c>
      <c r="B24" s="85"/>
      <c r="C24" s="85"/>
      <c r="D24" s="88"/>
      <c r="E24" s="78"/>
      <c r="F24" s="78"/>
      <c r="G24" s="78"/>
      <c r="H24" s="91" t="str">
        <f ca="1">Database!F21</f>
        <v>C</v>
      </c>
      <c r="I24" s="82"/>
      <c r="J24" s="83"/>
      <c r="K24" s="79"/>
      <c r="L24" s="82"/>
      <c r="M24" s="83"/>
      <c r="N24" s="79"/>
      <c r="O24" s="80"/>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c r="CY24" s="87"/>
      <c r="CZ24" s="87"/>
      <c r="DA24" s="87"/>
      <c r="DB24" s="87"/>
      <c r="DC24" s="87"/>
      <c r="DD24" s="87"/>
      <c r="DE24" s="87"/>
      <c r="DF24" s="87"/>
      <c r="DG24" s="87"/>
      <c r="DH24" s="87"/>
      <c r="DI24" s="87"/>
      <c r="DJ24" s="87"/>
      <c r="DK24" s="87"/>
      <c r="DL24" s="87"/>
      <c r="DM24" s="87"/>
      <c r="DN24" s="87"/>
      <c r="DO24" s="87"/>
      <c r="DP24" s="87"/>
      <c r="DQ24" s="87"/>
      <c r="DR24" s="87"/>
      <c r="DS24" s="87"/>
      <c r="DT24" s="87"/>
      <c r="DU24" s="87"/>
      <c r="DV24" s="87"/>
      <c r="DW24" s="87"/>
      <c r="DX24" s="87"/>
      <c r="DY24" s="87"/>
      <c r="DZ24" s="87"/>
      <c r="EA24" s="87"/>
      <c r="EB24" s="87"/>
      <c r="EC24" s="87"/>
      <c r="ED24" s="87"/>
      <c r="EE24" s="87"/>
      <c r="EF24" s="87"/>
      <c r="EG24" s="87"/>
      <c r="EH24" s="87"/>
      <c r="EI24" s="87"/>
      <c r="EJ24" s="87"/>
      <c r="EK24" s="87"/>
      <c r="EL24" s="87"/>
      <c r="EM24" s="87"/>
      <c r="EN24" s="87"/>
      <c r="EO24" s="87"/>
      <c r="EP24" s="87"/>
      <c r="EQ24" s="87"/>
      <c r="ER24" s="87"/>
      <c r="ES24" s="87"/>
      <c r="ET24" s="87"/>
      <c r="EU24" s="87"/>
      <c r="EV24" s="87"/>
      <c r="EW24" s="87"/>
      <c r="EX24" s="87"/>
      <c r="EY24" s="87"/>
      <c r="EZ24" s="87"/>
      <c r="FA24" s="87"/>
      <c r="FB24" s="87"/>
      <c r="FC24" s="87"/>
      <c r="FD24" s="87"/>
      <c r="FE24" s="87"/>
      <c r="FF24" s="87"/>
      <c r="FG24" s="87"/>
      <c r="FH24" s="87"/>
      <c r="FI24" s="87"/>
      <c r="FJ24" s="87"/>
      <c r="FK24" s="87"/>
      <c r="FL24" s="87"/>
      <c r="FM24" s="87"/>
      <c r="FN24" s="87"/>
      <c r="FO24" s="87"/>
      <c r="FP24" s="87"/>
      <c r="FQ24" s="87"/>
      <c r="FR24" s="87"/>
      <c r="FS24" s="87"/>
      <c r="FT24" s="87"/>
      <c r="FU24" s="87"/>
      <c r="FV24" s="87"/>
      <c r="FW24" s="87"/>
      <c r="FX24" s="87"/>
      <c r="FY24" s="87"/>
      <c r="FZ24" s="87"/>
      <c r="GA24" s="87"/>
      <c r="GB24" s="87"/>
      <c r="GC24" s="87"/>
      <c r="GD24" s="87"/>
      <c r="GE24" s="87"/>
      <c r="GF24" s="87"/>
      <c r="GG24" s="87"/>
      <c r="GH24" s="87"/>
      <c r="GI24" s="87"/>
      <c r="GJ24" s="87"/>
      <c r="GK24" s="87"/>
      <c r="GL24" s="87"/>
      <c r="GM24" s="87"/>
      <c r="GN24" s="87"/>
      <c r="GO24" s="87"/>
      <c r="GP24" s="87"/>
      <c r="GQ24" s="87"/>
      <c r="GR24" s="87"/>
      <c r="GS24" s="87"/>
      <c r="GT24" s="87"/>
      <c r="GU24" s="87"/>
      <c r="GV24" s="87"/>
      <c r="GW24" s="87"/>
      <c r="GX24" s="87"/>
      <c r="GY24" s="87"/>
      <c r="GZ24" s="87"/>
      <c r="HA24" s="87"/>
      <c r="HB24" s="87"/>
      <c r="HC24" s="87"/>
      <c r="HD24" s="87"/>
      <c r="HE24" s="87"/>
      <c r="HF24" s="87"/>
      <c r="HG24" s="87"/>
      <c r="HH24" s="87"/>
      <c r="HI24" s="87"/>
      <c r="HJ24" s="87"/>
      <c r="HK24" s="87"/>
      <c r="HL24" s="87"/>
      <c r="HM24" s="87"/>
      <c r="HN24" s="87"/>
      <c r="HO24" s="87"/>
      <c r="HP24" s="87"/>
      <c r="HQ24" s="87"/>
      <c r="HR24" s="87"/>
      <c r="HS24" s="87"/>
      <c r="HT24" s="87"/>
      <c r="HU24" s="87"/>
      <c r="HV24" s="87"/>
      <c r="HW24" s="87"/>
      <c r="HX24" s="87"/>
      <c r="HY24" s="87"/>
      <c r="HZ24" s="87"/>
      <c r="IA24" s="87"/>
      <c r="IB24" s="87"/>
      <c r="IC24" s="87"/>
      <c r="ID24" s="87"/>
      <c r="IE24" s="87"/>
      <c r="IF24" s="87"/>
      <c r="IG24" s="87"/>
      <c r="IH24" s="87"/>
      <c r="II24" s="87"/>
      <c r="IJ24" s="87"/>
      <c r="IK24" s="87"/>
      <c r="IL24" s="87"/>
      <c r="IM24" s="87"/>
      <c r="IN24" s="87"/>
      <c r="IO24" s="87"/>
      <c r="IP24" s="87"/>
    </row>
    <row r="25" spans="1:250">
      <c r="A25" s="84" t="str">
        <f ca="1">Database!E22</f>
        <v>Four 1 Gbps LC-type connector single mode fiber 1000BASE-LX Ethernet for up to 10 km</v>
      </c>
      <c r="B25" s="85"/>
      <c r="C25" s="85"/>
      <c r="D25" s="88"/>
      <c r="E25" s="78"/>
      <c r="F25" s="78"/>
      <c r="G25" s="78"/>
      <c r="H25" s="91" t="str">
        <f ca="1">Database!F22</f>
        <v>D</v>
      </c>
      <c r="I25" s="82"/>
      <c r="J25" s="83"/>
      <c r="K25" s="79"/>
      <c r="L25" s="82"/>
      <c r="M25" s="83"/>
      <c r="N25" s="79"/>
      <c r="O25" s="80"/>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87"/>
      <c r="CN25" s="87"/>
      <c r="CO25" s="87"/>
      <c r="CP25" s="87"/>
      <c r="CQ25" s="87"/>
      <c r="CR25" s="87"/>
      <c r="CS25" s="87"/>
      <c r="CT25" s="87"/>
      <c r="CU25" s="87"/>
      <c r="CV25" s="87"/>
      <c r="CW25" s="87"/>
      <c r="CX25" s="87"/>
      <c r="CY25" s="87"/>
      <c r="CZ25" s="87"/>
      <c r="DA25" s="87"/>
      <c r="DB25" s="87"/>
      <c r="DC25" s="87"/>
      <c r="DD25" s="87"/>
      <c r="DE25" s="87"/>
      <c r="DF25" s="87"/>
      <c r="DG25" s="87"/>
      <c r="DH25" s="87"/>
      <c r="DI25" s="87"/>
      <c r="DJ25" s="87"/>
      <c r="DK25" s="87"/>
      <c r="DL25" s="87"/>
      <c r="DM25" s="87"/>
      <c r="DN25" s="87"/>
      <c r="DO25" s="87"/>
      <c r="DP25" s="87"/>
      <c r="DQ25" s="87"/>
      <c r="DR25" s="87"/>
      <c r="DS25" s="87"/>
      <c r="DT25" s="87"/>
      <c r="DU25" s="87"/>
      <c r="DV25" s="87"/>
      <c r="DW25" s="87"/>
      <c r="DX25" s="87"/>
      <c r="DY25" s="87"/>
      <c r="DZ25" s="87"/>
      <c r="EA25" s="87"/>
      <c r="EB25" s="87"/>
      <c r="EC25" s="87"/>
      <c r="ED25" s="87"/>
      <c r="EE25" s="87"/>
      <c r="EF25" s="87"/>
      <c r="EG25" s="87"/>
      <c r="EH25" s="87"/>
      <c r="EI25" s="87"/>
      <c r="EJ25" s="87"/>
      <c r="EK25" s="87"/>
      <c r="EL25" s="87"/>
      <c r="EM25" s="87"/>
      <c r="EN25" s="87"/>
      <c r="EO25" s="87"/>
      <c r="EP25" s="87"/>
      <c r="EQ25" s="87"/>
      <c r="ER25" s="87"/>
      <c r="ES25" s="87"/>
      <c r="ET25" s="87"/>
      <c r="EU25" s="87"/>
      <c r="EV25" s="87"/>
      <c r="EW25" s="87"/>
      <c r="EX25" s="87"/>
      <c r="EY25" s="87"/>
      <c r="EZ25" s="87"/>
      <c r="FA25" s="87"/>
      <c r="FB25" s="87"/>
      <c r="FC25" s="87"/>
      <c r="FD25" s="87"/>
      <c r="FE25" s="87"/>
      <c r="FF25" s="87"/>
      <c r="FG25" s="87"/>
      <c r="FH25" s="87"/>
      <c r="FI25" s="87"/>
      <c r="FJ25" s="87"/>
      <c r="FK25" s="87"/>
      <c r="FL25" s="87"/>
      <c r="FM25" s="87"/>
      <c r="FN25" s="87"/>
      <c r="FO25" s="87"/>
      <c r="FP25" s="87"/>
      <c r="FQ25" s="87"/>
      <c r="FR25" s="87"/>
      <c r="FS25" s="87"/>
      <c r="FT25" s="87"/>
      <c r="FU25" s="87"/>
      <c r="FV25" s="87"/>
      <c r="FW25" s="87"/>
      <c r="FX25" s="87"/>
      <c r="FY25" s="87"/>
      <c r="FZ25" s="87"/>
      <c r="GA25" s="87"/>
      <c r="GB25" s="87"/>
      <c r="GC25" s="87"/>
      <c r="GD25" s="87"/>
      <c r="GE25" s="87"/>
      <c r="GF25" s="87"/>
      <c r="GG25" s="87"/>
      <c r="GH25" s="87"/>
      <c r="GI25" s="87"/>
      <c r="GJ25" s="87"/>
      <c r="GK25" s="87"/>
      <c r="GL25" s="87"/>
      <c r="GM25" s="87"/>
      <c r="GN25" s="87"/>
      <c r="GO25" s="87"/>
      <c r="GP25" s="87"/>
      <c r="GQ25" s="87"/>
      <c r="GR25" s="87"/>
      <c r="GS25" s="87"/>
      <c r="GT25" s="87"/>
      <c r="GU25" s="87"/>
      <c r="GV25" s="87"/>
      <c r="GW25" s="87"/>
      <c r="GX25" s="87"/>
      <c r="GY25" s="87"/>
      <c r="GZ25" s="87"/>
      <c r="HA25" s="87"/>
      <c r="HB25" s="87"/>
      <c r="HC25" s="87"/>
      <c r="HD25" s="87"/>
      <c r="HE25" s="87"/>
      <c r="HF25" s="87"/>
      <c r="HG25" s="87"/>
      <c r="HH25" s="87"/>
      <c r="HI25" s="87"/>
      <c r="HJ25" s="87"/>
      <c r="HK25" s="87"/>
      <c r="HL25" s="87"/>
      <c r="HM25" s="87"/>
      <c r="HN25" s="87"/>
      <c r="HO25" s="87"/>
      <c r="HP25" s="87"/>
      <c r="HQ25" s="87"/>
      <c r="HR25" s="87"/>
      <c r="HS25" s="87"/>
      <c r="HT25" s="87"/>
      <c r="HU25" s="87"/>
      <c r="HV25" s="87"/>
      <c r="HW25" s="87"/>
      <c r="HX25" s="87"/>
      <c r="HY25" s="87"/>
      <c r="HZ25" s="87"/>
      <c r="IA25" s="87"/>
      <c r="IB25" s="87"/>
      <c r="IC25" s="87"/>
      <c r="ID25" s="87"/>
      <c r="IE25" s="87"/>
      <c r="IF25" s="87"/>
      <c r="IG25" s="87"/>
      <c r="IH25" s="87"/>
      <c r="II25" s="87"/>
      <c r="IJ25" s="87"/>
      <c r="IK25" s="87"/>
      <c r="IL25" s="87"/>
      <c r="IM25" s="87"/>
      <c r="IN25" s="87"/>
      <c r="IO25" s="87"/>
      <c r="IP25" s="87"/>
    </row>
    <row r="26" spans="1:250">
      <c r="A26" s="84" t="str">
        <f ca="1">Database!E23</f>
        <v>Four 1 Gbps LC-type connector single mode fiber 1000BASE-ZX Ethernet for up to 40 km</v>
      </c>
      <c r="B26" s="85"/>
      <c r="C26" s="85"/>
      <c r="D26" s="88"/>
      <c r="E26" s="78"/>
      <c r="F26" s="78"/>
      <c r="G26" s="78"/>
      <c r="H26" s="91" t="str">
        <f ca="1">Database!F23</f>
        <v>E</v>
      </c>
      <c r="I26" s="82"/>
      <c r="J26" s="83"/>
      <c r="K26" s="79"/>
      <c r="L26" s="82"/>
      <c r="M26" s="83"/>
      <c r="N26" s="79"/>
      <c r="O26" s="80"/>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87"/>
      <c r="CV26" s="87"/>
      <c r="CW26" s="87"/>
      <c r="CX26" s="87"/>
      <c r="CY26" s="87"/>
      <c r="CZ26" s="87"/>
      <c r="DA26" s="87"/>
      <c r="DB26" s="87"/>
      <c r="DC26" s="87"/>
      <c r="DD26" s="87"/>
      <c r="DE26" s="87"/>
      <c r="DF26" s="87"/>
      <c r="DG26" s="87"/>
      <c r="DH26" s="87"/>
      <c r="DI26" s="87"/>
      <c r="DJ26" s="87"/>
      <c r="DK26" s="87"/>
      <c r="DL26" s="87"/>
      <c r="DM26" s="87"/>
      <c r="DN26" s="87"/>
      <c r="DO26" s="87"/>
      <c r="DP26" s="87"/>
      <c r="DQ26" s="87"/>
      <c r="DR26" s="87"/>
      <c r="DS26" s="87"/>
      <c r="DT26" s="87"/>
      <c r="DU26" s="87"/>
      <c r="DV26" s="87"/>
      <c r="DW26" s="87"/>
      <c r="DX26" s="87"/>
      <c r="DY26" s="87"/>
      <c r="DZ26" s="87"/>
      <c r="EA26" s="87"/>
      <c r="EB26" s="87"/>
      <c r="EC26" s="87"/>
      <c r="ED26" s="87"/>
      <c r="EE26" s="87"/>
      <c r="EF26" s="87"/>
      <c r="EG26" s="87"/>
      <c r="EH26" s="87"/>
      <c r="EI26" s="87"/>
      <c r="EJ26" s="87"/>
      <c r="EK26" s="87"/>
      <c r="EL26" s="87"/>
      <c r="EM26" s="87"/>
      <c r="EN26" s="87"/>
      <c r="EO26" s="87"/>
      <c r="EP26" s="87"/>
      <c r="EQ26" s="87"/>
      <c r="ER26" s="87"/>
      <c r="ES26" s="87"/>
      <c r="ET26" s="87"/>
      <c r="EU26" s="87"/>
      <c r="EV26" s="87"/>
      <c r="EW26" s="87"/>
      <c r="EX26" s="87"/>
      <c r="EY26" s="87"/>
      <c r="EZ26" s="87"/>
      <c r="FA26" s="87"/>
      <c r="FB26" s="87"/>
      <c r="FC26" s="87"/>
      <c r="FD26" s="87"/>
      <c r="FE26" s="87"/>
      <c r="FF26" s="87"/>
      <c r="FG26" s="87"/>
      <c r="FH26" s="87"/>
      <c r="FI26" s="87"/>
      <c r="FJ26" s="87"/>
      <c r="FK26" s="87"/>
      <c r="FL26" s="87"/>
      <c r="FM26" s="87"/>
      <c r="FN26" s="87"/>
      <c r="FO26" s="87"/>
      <c r="FP26" s="87"/>
      <c r="FQ26" s="87"/>
      <c r="FR26" s="87"/>
      <c r="FS26" s="87"/>
      <c r="FT26" s="87"/>
      <c r="FU26" s="87"/>
      <c r="FV26" s="87"/>
      <c r="FW26" s="87"/>
      <c r="FX26" s="87"/>
      <c r="FY26" s="87"/>
      <c r="FZ26" s="87"/>
      <c r="GA26" s="87"/>
      <c r="GB26" s="87"/>
      <c r="GC26" s="87"/>
      <c r="GD26" s="87"/>
      <c r="GE26" s="87"/>
      <c r="GF26" s="87"/>
      <c r="GG26" s="87"/>
      <c r="GH26" s="87"/>
      <c r="GI26" s="87"/>
      <c r="GJ26" s="87"/>
      <c r="GK26" s="87"/>
      <c r="GL26" s="87"/>
      <c r="GM26" s="87"/>
      <c r="GN26" s="87"/>
      <c r="GO26" s="87"/>
      <c r="GP26" s="87"/>
      <c r="GQ26" s="87"/>
      <c r="GR26" s="87"/>
      <c r="GS26" s="87"/>
      <c r="GT26" s="87"/>
      <c r="GU26" s="87"/>
      <c r="GV26" s="87"/>
      <c r="GW26" s="87"/>
      <c r="GX26" s="87"/>
      <c r="GY26" s="87"/>
      <c r="GZ26" s="87"/>
      <c r="HA26" s="87"/>
      <c r="HB26" s="87"/>
      <c r="HC26" s="87"/>
      <c r="HD26" s="87"/>
      <c r="HE26" s="87"/>
      <c r="HF26" s="87"/>
      <c r="HG26" s="87"/>
      <c r="HH26" s="87"/>
      <c r="HI26" s="87"/>
      <c r="HJ26" s="87"/>
      <c r="HK26" s="87"/>
      <c r="HL26" s="87"/>
      <c r="HM26" s="87"/>
      <c r="HN26" s="87"/>
      <c r="HO26" s="87"/>
      <c r="HP26" s="87"/>
      <c r="HQ26" s="87"/>
      <c r="HR26" s="87"/>
      <c r="HS26" s="87"/>
      <c r="HT26" s="87"/>
      <c r="HU26" s="87"/>
      <c r="HV26" s="87"/>
      <c r="HW26" s="87"/>
      <c r="HX26" s="87"/>
      <c r="HY26" s="87"/>
      <c r="HZ26" s="87"/>
      <c r="IA26" s="87"/>
      <c r="IB26" s="87"/>
      <c r="IC26" s="87"/>
      <c r="ID26" s="87"/>
      <c r="IE26" s="87"/>
      <c r="IF26" s="87"/>
      <c r="IG26" s="87"/>
      <c r="IH26" s="87"/>
      <c r="II26" s="87"/>
      <c r="IJ26" s="87"/>
      <c r="IK26" s="87"/>
      <c r="IL26" s="87"/>
      <c r="IM26" s="87"/>
      <c r="IN26" s="87"/>
      <c r="IO26" s="87"/>
      <c r="IP26" s="87"/>
    </row>
    <row r="27" spans="1:250">
      <c r="A27" s="84" t="str">
        <f ca="1">Database!E24</f>
        <v>Four 1 Gbps LC-type connector single mode fiber 1000BASE-ZX Ethernet for up to 80 km</v>
      </c>
      <c r="B27" s="85"/>
      <c r="C27" s="85"/>
      <c r="D27" s="88"/>
      <c r="E27" s="78"/>
      <c r="F27" s="78"/>
      <c r="G27" s="78"/>
      <c r="H27" s="91" t="str">
        <f ca="1">Database!F24</f>
        <v>F</v>
      </c>
      <c r="I27" s="82"/>
      <c r="J27" s="83"/>
      <c r="K27" s="79"/>
      <c r="L27" s="82"/>
      <c r="M27" s="83"/>
      <c r="N27" s="79"/>
      <c r="O27" s="80"/>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c r="DM27" s="87"/>
      <c r="DN27" s="87"/>
      <c r="DO27" s="87"/>
      <c r="DP27" s="87"/>
      <c r="DQ27" s="87"/>
      <c r="DR27" s="87"/>
      <c r="DS27" s="87"/>
      <c r="DT27" s="87"/>
      <c r="DU27" s="87"/>
      <c r="DV27" s="87"/>
      <c r="DW27" s="87"/>
      <c r="DX27" s="87"/>
      <c r="DY27" s="87"/>
      <c r="DZ27" s="87"/>
      <c r="EA27" s="87"/>
      <c r="EB27" s="87"/>
      <c r="EC27" s="87"/>
      <c r="ED27" s="87"/>
      <c r="EE27" s="87"/>
      <c r="EF27" s="87"/>
      <c r="EG27" s="87"/>
      <c r="EH27" s="87"/>
      <c r="EI27" s="87"/>
      <c r="EJ27" s="87"/>
      <c r="EK27" s="87"/>
      <c r="EL27" s="87"/>
      <c r="EM27" s="87"/>
      <c r="EN27" s="87"/>
      <c r="EO27" s="87"/>
      <c r="EP27" s="87"/>
      <c r="EQ27" s="87"/>
      <c r="ER27" s="87"/>
      <c r="ES27" s="87"/>
      <c r="ET27" s="87"/>
      <c r="EU27" s="87"/>
      <c r="EV27" s="87"/>
      <c r="EW27" s="87"/>
      <c r="EX27" s="87"/>
      <c r="EY27" s="87"/>
      <c r="EZ27" s="87"/>
      <c r="FA27" s="87"/>
      <c r="FB27" s="87"/>
      <c r="FC27" s="87"/>
      <c r="FD27" s="87"/>
      <c r="FE27" s="87"/>
      <c r="FF27" s="87"/>
      <c r="FG27" s="87"/>
      <c r="FH27" s="87"/>
      <c r="FI27" s="87"/>
      <c r="FJ27" s="87"/>
      <c r="FK27" s="87"/>
      <c r="FL27" s="87"/>
      <c r="FM27" s="87"/>
      <c r="FN27" s="87"/>
      <c r="FO27" s="87"/>
      <c r="FP27" s="87"/>
      <c r="FQ27" s="87"/>
      <c r="FR27" s="87"/>
      <c r="FS27" s="87"/>
      <c r="FT27" s="87"/>
      <c r="FU27" s="87"/>
      <c r="FV27" s="87"/>
      <c r="FW27" s="87"/>
      <c r="FX27" s="87"/>
      <c r="FY27" s="87"/>
      <c r="FZ27" s="87"/>
      <c r="GA27" s="87"/>
      <c r="GB27" s="87"/>
      <c r="GC27" s="87"/>
      <c r="GD27" s="87"/>
      <c r="GE27" s="87"/>
      <c r="GF27" s="87"/>
      <c r="GG27" s="87"/>
      <c r="GH27" s="87"/>
      <c r="GI27" s="87"/>
      <c r="GJ27" s="87"/>
      <c r="GK27" s="87"/>
      <c r="GL27" s="87"/>
      <c r="GM27" s="87"/>
      <c r="GN27" s="87"/>
      <c r="GO27" s="87"/>
      <c r="GP27" s="87"/>
      <c r="GQ27" s="87"/>
      <c r="GR27" s="87"/>
      <c r="GS27" s="87"/>
      <c r="GT27" s="87"/>
      <c r="GU27" s="87"/>
      <c r="GV27" s="87"/>
      <c r="GW27" s="87"/>
      <c r="GX27" s="87"/>
      <c r="GY27" s="87"/>
      <c r="GZ27" s="87"/>
      <c r="HA27" s="87"/>
      <c r="HB27" s="87"/>
      <c r="HC27" s="87"/>
      <c r="HD27" s="87"/>
      <c r="HE27" s="87"/>
      <c r="HF27" s="87"/>
      <c r="HG27" s="87"/>
      <c r="HH27" s="87"/>
      <c r="HI27" s="87"/>
      <c r="HJ27" s="87"/>
      <c r="HK27" s="87"/>
      <c r="HL27" s="87"/>
      <c r="HM27" s="87"/>
      <c r="HN27" s="87"/>
      <c r="HO27" s="87"/>
      <c r="HP27" s="87"/>
      <c r="HQ27" s="87"/>
      <c r="HR27" s="87"/>
      <c r="HS27" s="87"/>
      <c r="HT27" s="87"/>
      <c r="HU27" s="87"/>
      <c r="HV27" s="87"/>
      <c r="HW27" s="87"/>
      <c r="HX27" s="87"/>
      <c r="HY27" s="87"/>
      <c r="HZ27" s="87"/>
      <c r="IA27" s="87"/>
      <c r="IB27" s="87"/>
      <c r="IC27" s="87"/>
      <c r="ID27" s="87"/>
      <c r="IE27" s="87"/>
      <c r="IF27" s="87"/>
      <c r="IG27" s="87"/>
      <c r="IH27" s="87"/>
      <c r="II27" s="87"/>
      <c r="IJ27" s="87"/>
      <c r="IK27" s="87"/>
      <c r="IL27" s="87"/>
      <c r="IM27" s="87"/>
      <c r="IN27" s="87"/>
      <c r="IO27" s="87"/>
      <c r="IP27" s="87"/>
    </row>
    <row r="28" spans="1:250">
      <c r="A28" s="84" t="str">
        <f ca="1">Database!E25</f>
        <v>Four 100 Mbps LC-type connector multi mode fiber 100BASE-FX Ethernet for up to 2 km</v>
      </c>
      <c r="B28" s="85"/>
      <c r="C28" s="85"/>
      <c r="D28" s="88"/>
      <c r="E28" s="78"/>
      <c r="F28" s="78"/>
      <c r="G28" s="78"/>
      <c r="H28" s="91" t="str">
        <f ca="1">Database!F25</f>
        <v>H</v>
      </c>
      <c r="I28" s="82"/>
      <c r="J28" s="83"/>
      <c r="K28" s="79"/>
      <c r="L28" s="82"/>
      <c r="M28" s="83"/>
      <c r="N28" s="79"/>
      <c r="O28" s="80"/>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c r="BO28" s="87"/>
      <c r="BP28" s="87"/>
      <c r="BQ28" s="87"/>
      <c r="BR28" s="87"/>
      <c r="BS28" s="87"/>
      <c r="BT28" s="87"/>
      <c r="BU28" s="87"/>
      <c r="BV28" s="87"/>
      <c r="BW28" s="87"/>
      <c r="BX28" s="87"/>
      <c r="BY28" s="87"/>
      <c r="BZ28" s="87"/>
      <c r="CA28" s="87"/>
      <c r="CB28" s="87"/>
      <c r="CC28" s="87"/>
      <c r="CD28" s="87"/>
      <c r="CE28" s="87"/>
      <c r="CF28" s="87"/>
      <c r="CG28" s="87"/>
      <c r="CH28" s="87"/>
      <c r="CI28" s="87"/>
      <c r="CJ28" s="87"/>
      <c r="CK28" s="87"/>
      <c r="CL28" s="87"/>
      <c r="CM28" s="87"/>
      <c r="CN28" s="87"/>
      <c r="CO28" s="87"/>
      <c r="CP28" s="87"/>
      <c r="CQ28" s="87"/>
      <c r="CR28" s="87"/>
      <c r="CS28" s="87"/>
      <c r="CT28" s="87"/>
      <c r="CU28" s="87"/>
      <c r="CV28" s="87"/>
      <c r="CW28" s="87"/>
      <c r="CX28" s="87"/>
      <c r="CY28" s="87"/>
      <c r="CZ28" s="87"/>
      <c r="DA28" s="87"/>
      <c r="DB28" s="87"/>
      <c r="DC28" s="87"/>
      <c r="DD28" s="87"/>
      <c r="DE28" s="87"/>
      <c r="DF28" s="87"/>
      <c r="DG28" s="87"/>
      <c r="DH28" s="87"/>
      <c r="DI28" s="87"/>
      <c r="DJ28" s="87"/>
      <c r="DK28" s="87"/>
      <c r="DL28" s="87"/>
      <c r="DM28" s="87"/>
      <c r="DN28" s="87"/>
      <c r="DO28" s="87"/>
      <c r="DP28" s="87"/>
      <c r="DQ28" s="87"/>
      <c r="DR28" s="87"/>
      <c r="DS28" s="87"/>
      <c r="DT28" s="87"/>
      <c r="DU28" s="87"/>
      <c r="DV28" s="87"/>
      <c r="DW28" s="87"/>
      <c r="DX28" s="87"/>
      <c r="DY28" s="87"/>
      <c r="DZ28" s="87"/>
      <c r="EA28" s="87"/>
      <c r="EB28" s="87"/>
      <c r="EC28" s="87"/>
      <c r="ED28" s="87"/>
      <c r="EE28" s="87"/>
      <c r="EF28" s="87"/>
      <c r="EG28" s="87"/>
      <c r="EH28" s="87"/>
      <c r="EI28" s="87"/>
      <c r="EJ28" s="87"/>
      <c r="EK28" s="87"/>
      <c r="EL28" s="87"/>
      <c r="EM28" s="87"/>
      <c r="EN28" s="87"/>
      <c r="EO28" s="87"/>
      <c r="EP28" s="87"/>
      <c r="EQ28" s="87"/>
      <c r="ER28" s="87"/>
      <c r="ES28" s="87"/>
      <c r="ET28" s="87"/>
      <c r="EU28" s="87"/>
      <c r="EV28" s="87"/>
      <c r="EW28" s="87"/>
      <c r="EX28" s="87"/>
      <c r="EY28" s="87"/>
      <c r="EZ28" s="87"/>
      <c r="FA28" s="87"/>
      <c r="FB28" s="87"/>
      <c r="FC28" s="87"/>
      <c r="FD28" s="87"/>
      <c r="FE28" s="87"/>
      <c r="FF28" s="87"/>
      <c r="FG28" s="87"/>
      <c r="FH28" s="87"/>
      <c r="FI28" s="87"/>
      <c r="FJ28" s="87"/>
      <c r="FK28" s="87"/>
      <c r="FL28" s="87"/>
      <c r="FM28" s="87"/>
      <c r="FN28" s="87"/>
      <c r="FO28" s="87"/>
      <c r="FP28" s="87"/>
      <c r="FQ28" s="87"/>
      <c r="FR28" s="87"/>
      <c r="FS28" s="87"/>
      <c r="FT28" s="87"/>
      <c r="FU28" s="87"/>
      <c r="FV28" s="87"/>
      <c r="FW28" s="87"/>
      <c r="FX28" s="87"/>
      <c r="FY28" s="87"/>
      <c r="FZ28" s="87"/>
      <c r="GA28" s="87"/>
      <c r="GB28" s="87"/>
      <c r="GC28" s="87"/>
      <c r="GD28" s="87"/>
      <c r="GE28" s="87"/>
      <c r="GF28" s="87"/>
      <c r="GG28" s="87"/>
      <c r="GH28" s="87"/>
      <c r="GI28" s="87"/>
      <c r="GJ28" s="87"/>
      <c r="GK28" s="87"/>
      <c r="GL28" s="87"/>
      <c r="GM28" s="87"/>
      <c r="GN28" s="87"/>
      <c r="GO28" s="87"/>
      <c r="GP28" s="87"/>
      <c r="GQ28" s="87"/>
      <c r="GR28" s="87"/>
      <c r="GS28" s="87"/>
      <c r="GT28" s="87"/>
      <c r="GU28" s="87"/>
      <c r="GV28" s="87"/>
      <c r="GW28" s="87"/>
      <c r="GX28" s="87"/>
      <c r="GY28" s="87"/>
      <c r="GZ28" s="87"/>
      <c r="HA28" s="87"/>
      <c r="HB28" s="87"/>
      <c r="HC28" s="87"/>
      <c r="HD28" s="87"/>
      <c r="HE28" s="87"/>
      <c r="HF28" s="87"/>
      <c r="HG28" s="87"/>
      <c r="HH28" s="87"/>
      <c r="HI28" s="87"/>
      <c r="HJ28" s="87"/>
      <c r="HK28" s="87"/>
      <c r="HL28" s="87"/>
      <c r="HM28" s="87"/>
      <c r="HN28" s="87"/>
      <c r="HO28" s="87"/>
      <c r="HP28" s="87"/>
      <c r="HQ28" s="87"/>
      <c r="HR28" s="87"/>
      <c r="HS28" s="87"/>
      <c r="HT28" s="87"/>
      <c r="HU28" s="87"/>
      <c r="HV28" s="87"/>
      <c r="HW28" s="87"/>
      <c r="HX28" s="87"/>
      <c r="HY28" s="87"/>
      <c r="HZ28" s="87"/>
      <c r="IA28" s="87"/>
      <c r="IB28" s="87"/>
      <c r="IC28" s="87"/>
      <c r="ID28" s="87"/>
      <c r="IE28" s="87"/>
      <c r="IF28" s="87"/>
      <c r="IG28" s="87"/>
      <c r="IH28" s="87"/>
      <c r="II28" s="87"/>
      <c r="IJ28" s="87"/>
      <c r="IK28" s="87"/>
      <c r="IL28" s="87"/>
      <c r="IM28" s="87"/>
      <c r="IN28" s="87"/>
      <c r="IO28" s="87"/>
      <c r="IP28" s="87"/>
    </row>
    <row r="29" spans="1:250">
      <c r="A29" s="84" t="str">
        <f ca="1">Database!E26</f>
        <v>Four RJ45 copper 10/100BASE-TX</v>
      </c>
      <c r="B29" s="85"/>
      <c r="C29" s="85"/>
      <c r="D29" s="88"/>
      <c r="E29" s="78"/>
      <c r="F29" s="78"/>
      <c r="G29" s="78"/>
      <c r="H29" s="91" t="str">
        <f ca="1">Database!F26</f>
        <v>I</v>
      </c>
      <c r="I29" s="82"/>
      <c r="J29" s="83"/>
      <c r="K29" s="79"/>
      <c r="L29" s="82"/>
      <c r="M29" s="83"/>
      <c r="N29" s="79"/>
      <c r="O29" s="80"/>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87"/>
      <c r="BT29" s="87"/>
      <c r="BU29" s="87"/>
      <c r="BV29" s="87"/>
      <c r="BW29" s="87"/>
      <c r="BX29" s="87"/>
      <c r="BY29" s="87"/>
      <c r="BZ29" s="87"/>
      <c r="CA29" s="87"/>
      <c r="CB29" s="87"/>
      <c r="CC29" s="87"/>
      <c r="CD29" s="87"/>
      <c r="CE29" s="87"/>
      <c r="CF29" s="87"/>
      <c r="CG29" s="87"/>
      <c r="CH29" s="87"/>
      <c r="CI29" s="87"/>
      <c r="CJ29" s="87"/>
      <c r="CK29" s="87"/>
      <c r="CL29" s="87"/>
      <c r="CM29" s="87"/>
      <c r="CN29" s="87"/>
      <c r="CO29" s="87"/>
      <c r="CP29" s="87"/>
      <c r="CQ29" s="87"/>
      <c r="CR29" s="87"/>
      <c r="CS29" s="87"/>
      <c r="CT29" s="87"/>
      <c r="CU29" s="87"/>
      <c r="CV29" s="87"/>
      <c r="CW29" s="87"/>
      <c r="CX29" s="87"/>
      <c r="CY29" s="87"/>
      <c r="CZ29" s="87"/>
      <c r="DA29" s="87"/>
      <c r="DB29" s="87"/>
      <c r="DC29" s="87"/>
      <c r="DD29" s="87"/>
      <c r="DE29" s="87"/>
      <c r="DF29" s="87"/>
      <c r="DG29" s="87"/>
      <c r="DH29" s="87"/>
      <c r="DI29" s="87"/>
      <c r="DJ29" s="87"/>
      <c r="DK29" s="87"/>
      <c r="DL29" s="87"/>
      <c r="DM29" s="87"/>
      <c r="DN29" s="87"/>
      <c r="DO29" s="87"/>
      <c r="DP29" s="87"/>
      <c r="DQ29" s="87"/>
      <c r="DR29" s="87"/>
      <c r="DS29" s="87"/>
      <c r="DT29" s="87"/>
      <c r="DU29" s="87"/>
      <c r="DV29" s="87"/>
      <c r="DW29" s="87"/>
      <c r="DX29" s="87"/>
      <c r="DY29" s="87"/>
      <c r="DZ29" s="87"/>
      <c r="EA29" s="87"/>
      <c r="EB29" s="87"/>
      <c r="EC29" s="87"/>
      <c r="ED29" s="87"/>
      <c r="EE29" s="87"/>
      <c r="EF29" s="87"/>
      <c r="EG29" s="87"/>
      <c r="EH29" s="87"/>
      <c r="EI29" s="87"/>
      <c r="EJ29" s="87"/>
      <c r="EK29" s="87"/>
      <c r="EL29" s="87"/>
      <c r="EM29" s="87"/>
      <c r="EN29" s="87"/>
      <c r="EO29" s="87"/>
      <c r="EP29" s="87"/>
      <c r="EQ29" s="87"/>
      <c r="ER29" s="87"/>
      <c r="ES29" s="87"/>
      <c r="ET29" s="87"/>
      <c r="EU29" s="87"/>
      <c r="EV29" s="87"/>
      <c r="EW29" s="87"/>
      <c r="EX29" s="87"/>
      <c r="EY29" s="87"/>
      <c r="EZ29" s="87"/>
      <c r="FA29" s="87"/>
      <c r="FB29" s="87"/>
      <c r="FC29" s="87"/>
      <c r="FD29" s="87"/>
      <c r="FE29" s="87"/>
      <c r="FF29" s="87"/>
      <c r="FG29" s="87"/>
      <c r="FH29" s="87"/>
      <c r="FI29" s="87"/>
      <c r="FJ29" s="87"/>
      <c r="FK29" s="87"/>
      <c r="FL29" s="87"/>
      <c r="FM29" s="87"/>
      <c r="FN29" s="87"/>
      <c r="FO29" s="87"/>
      <c r="FP29" s="87"/>
      <c r="FQ29" s="87"/>
      <c r="FR29" s="87"/>
      <c r="FS29" s="87"/>
      <c r="FT29" s="87"/>
      <c r="FU29" s="87"/>
      <c r="FV29" s="87"/>
      <c r="FW29" s="87"/>
      <c r="FX29" s="87"/>
      <c r="FY29" s="87"/>
      <c r="FZ29" s="87"/>
      <c r="GA29" s="87"/>
      <c r="GB29" s="87"/>
      <c r="GC29" s="87"/>
      <c r="GD29" s="87"/>
      <c r="GE29" s="87"/>
      <c r="GF29" s="87"/>
      <c r="GG29" s="87"/>
      <c r="GH29" s="87"/>
      <c r="GI29" s="87"/>
      <c r="GJ29" s="87"/>
      <c r="GK29" s="87"/>
      <c r="GL29" s="87"/>
      <c r="GM29" s="87"/>
      <c r="GN29" s="87"/>
      <c r="GO29" s="87"/>
      <c r="GP29" s="87"/>
      <c r="GQ29" s="87"/>
      <c r="GR29" s="87"/>
      <c r="GS29" s="87"/>
      <c r="GT29" s="87"/>
      <c r="GU29" s="87"/>
      <c r="GV29" s="87"/>
      <c r="GW29" s="87"/>
      <c r="GX29" s="87"/>
      <c r="GY29" s="87"/>
      <c r="GZ29" s="87"/>
      <c r="HA29" s="87"/>
      <c r="HB29" s="87"/>
      <c r="HC29" s="87"/>
      <c r="HD29" s="87"/>
      <c r="HE29" s="87"/>
      <c r="HF29" s="87"/>
      <c r="HG29" s="87"/>
      <c r="HH29" s="87"/>
      <c r="HI29" s="87"/>
      <c r="HJ29" s="87"/>
      <c r="HK29" s="87"/>
      <c r="HL29" s="87"/>
      <c r="HM29" s="87"/>
      <c r="HN29" s="87"/>
      <c r="HO29" s="87"/>
      <c r="HP29" s="87"/>
      <c r="HQ29" s="87"/>
      <c r="HR29" s="87"/>
      <c r="HS29" s="87"/>
      <c r="HT29" s="87"/>
      <c r="HU29" s="87"/>
      <c r="HV29" s="87"/>
      <c r="HW29" s="87"/>
      <c r="HX29" s="87"/>
      <c r="HY29" s="87"/>
      <c r="HZ29" s="87"/>
      <c r="IA29" s="87"/>
      <c r="IB29" s="87"/>
      <c r="IC29" s="87"/>
      <c r="ID29" s="87"/>
      <c r="IE29" s="87"/>
      <c r="IF29" s="87"/>
      <c r="IG29" s="87"/>
      <c r="IH29" s="87"/>
      <c r="II29" s="87"/>
      <c r="IJ29" s="87"/>
      <c r="IK29" s="87"/>
      <c r="IL29" s="87"/>
      <c r="IM29" s="87"/>
      <c r="IN29" s="87"/>
      <c r="IO29" s="87"/>
      <c r="IP29" s="87"/>
    </row>
    <row r="30" spans="1:250">
      <c r="A30" s="84" t="str">
        <f ca="1">Database!E27</f>
        <v>Two 1 Gbps LC-type connector multi mode fiber 1000BASE-SX Ethernet for up to 0.5 km + Two 100 Mbps LC-type connector multi mode fiber 100BASE-FX Ethernet for up to 2 km</v>
      </c>
      <c r="B30" s="85"/>
      <c r="C30" s="85"/>
      <c r="D30" s="88"/>
      <c r="E30" s="78"/>
      <c r="F30" s="78"/>
      <c r="G30" s="78"/>
      <c r="H30" s="91" t="str">
        <f ca="1">Database!F27</f>
        <v>M</v>
      </c>
      <c r="I30" s="82"/>
      <c r="J30" s="83"/>
      <c r="K30" s="79"/>
      <c r="L30" s="82"/>
      <c r="M30" s="83"/>
      <c r="N30" s="79"/>
      <c r="O30" s="80"/>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7"/>
      <c r="BT30" s="87"/>
      <c r="BU30" s="87"/>
      <c r="BV30" s="87"/>
      <c r="BW30" s="87"/>
      <c r="BX30" s="87"/>
      <c r="BY30" s="87"/>
      <c r="BZ30" s="87"/>
      <c r="CA30" s="87"/>
      <c r="CB30" s="87"/>
      <c r="CC30" s="87"/>
      <c r="CD30" s="87"/>
      <c r="CE30" s="87"/>
      <c r="CF30" s="87"/>
      <c r="CG30" s="87"/>
      <c r="CH30" s="87"/>
      <c r="CI30" s="87"/>
      <c r="CJ30" s="87"/>
      <c r="CK30" s="87"/>
      <c r="CL30" s="87"/>
      <c r="CM30" s="87"/>
      <c r="CN30" s="87"/>
      <c r="CO30" s="87"/>
      <c r="CP30" s="87"/>
      <c r="CQ30" s="87"/>
      <c r="CR30" s="87"/>
      <c r="CS30" s="87"/>
      <c r="CT30" s="87"/>
      <c r="CU30" s="87"/>
      <c r="CV30" s="87"/>
      <c r="CW30" s="87"/>
      <c r="CX30" s="87"/>
      <c r="CY30" s="87"/>
      <c r="CZ30" s="87"/>
      <c r="DA30" s="87"/>
      <c r="DB30" s="87"/>
      <c r="DC30" s="87"/>
      <c r="DD30" s="87"/>
      <c r="DE30" s="87"/>
      <c r="DF30" s="87"/>
      <c r="DG30" s="87"/>
      <c r="DH30" s="87"/>
      <c r="DI30" s="87"/>
      <c r="DJ30" s="87"/>
      <c r="DK30" s="87"/>
      <c r="DL30" s="87"/>
      <c r="DM30" s="87"/>
      <c r="DN30" s="87"/>
      <c r="DO30" s="87"/>
      <c r="DP30" s="87"/>
      <c r="DQ30" s="87"/>
      <c r="DR30" s="87"/>
      <c r="DS30" s="87"/>
      <c r="DT30" s="87"/>
      <c r="DU30" s="87"/>
      <c r="DV30" s="87"/>
      <c r="DW30" s="87"/>
      <c r="DX30" s="87"/>
      <c r="DY30" s="87"/>
      <c r="DZ30" s="87"/>
      <c r="EA30" s="87"/>
      <c r="EB30" s="87"/>
      <c r="EC30" s="87"/>
      <c r="ED30" s="87"/>
      <c r="EE30" s="87"/>
      <c r="EF30" s="87"/>
      <c r="EG30" s="87"/>
      <c r="EH30" s="87"/>
      <c r="EI30" s="87"/>
      <c r="EJ30" s="87"/>
      <c r="EK30" s="87"/>
      <c r="EL30" s="87"/>
      <c r="EM30" s="87"/>
      <c r="EN30" s="87"/>
      <c r="EO30" s="87"/>
      <c r="EP30" s="87"/>
      <c r="EQ30" s="87"/>
      <c r="ER30" s="87"/>
      <c r="ES30" s="87"/>
      <c r="ET30" s="87"/>
      <c r="EU30" s="87"/>
      <c r="EV30" s="87"/>
      <c r="EW30" s="87"/>
      <c r="EX30" s="87"/>
      <c r="EY30" s="87"/>
      <c r="EZ30" s="87"/>
      <c r="FA30" s="87"/>
      <c r="FB30" s="87"/>
      <c r="FC30" s="87"/>
      <c r="FD30" s="87"/>
      <c r="FE30" s="87"/>
      <c r="FF30" s="87"/>
      <c r="FG30" s="87"/>
      <c r="FH30" s="87"/>
      <c r="FI30" s="87"/>
      <c r="FJ30" s="87"/>
      <c r="FK30" s="87"/>
      <c r="FL30" s="87"/>
      <c r="FM30" s="87"/>
      <c r="FN30" s="87"/>
      <c r="FO30" s="87"/>
      <c r="FP30" s="87"/>
      <c r="FQ30" s="87"/>
      <c r="FR30" s="87"/>
      <c r="FS30" s="87"/>
      <c r="FT30" s="87"/>
      <c r="FU30" s="87"/>
      <c r="FV30" s="87"/>
      <c r="FW30" s="87"/>
      <c r="FX30" s="87"/>
      <c r="FY30" s="87"/>
      <c r="FZ30" s="87"/>
      <c r="GA30" s="87"/>
      <c r="GB30" s="87"/>
      <c r="GC30" s="87"/>
      <c r="GD30" s="87"/>
      <c r="GE30" s="87"/>
      <c r="GF30" s="87"/>
      <c r="GG30" s="87"/>
      <c r="GH30" s="87"/>
      <c r="GI30" s="87"/>
      <c r="GJ30" s="87"/>
      <c r="GK30" s="87"/>
      <c r="GL30" s="87"/>
      <c r="GM30" s="87"/>
      <c r="GN30" s="87"/>
      <c r="GO30" s="87"/>
      <c r="GP30" s="87"/>
      <c r="GQ30" s="87"/>
      <c r="GR30" s="87"/>
      <c r="GS30" s="87"/>
      <c r="GT30" s="87"/>
      <c r="GU30" s="87"/>
      <c r="GV30" s="87"/>
      <c r="GW30" s="87"/>
      <c r="GX30" s="87"/>
      <c r="GY30" s="87"/>
      <c r="GZ30" s="87"/>
      <c r="HA30" s="87"/>
      <c r="HB30" s="87"/>
      <c r="HC30" s="87"/>
      <c r="HD30" s="87"/>
      <c r="HE30" s="87"/>
      <c r="HF30" s="87"/>
      <c r="HG30" s="87"/>
      <c r="HH30" s="87"/>
      <c r="HI30" s="87"/>
      <c r="HJ30" s="87"/>
      <c r="HK30" s="87"/>
      <c r="HL30" s="87"/>
      <c r="HM30" s="87"/>
      <c r="HN30" s="87"/>
      <c r="HO30" s="87"/>
      <c r="HP30" s="87"/>
      <c r="HQ30" s="87"/>
      <c r="HR30" s="87"/>
      <c r="HS30" s="87"/>
      <c r="HT30" s="87"/>
      <c r="HU30" s="87"/>
      <c r="HV30" s="87"/>
      <c r="HW30" s="87"/>
      <c r="HX30" s="87"/>
      <c r="HY30" s="87"/>
      <c r="HZ30" s="87"/>
      <c r="IA30" s="87"/>
      <c r="IB30" s="87"/>
      <c r="IC30" s="87"/>
      <c r="ID30" s="87"/>
      <c r="IE30" s="87"/>
      <c r="IF30" s="87"/>
      <c r="IG30" s="87"/>
      <c r="IH30" s="87"/>
      <c r="II30" s="87"/>
      <c r="IJ30" s="87"/>
      <c r="IK30" s="87"/>
      <c r="IL30" s="87"/>
      <c r="IM30" s="87"/>
      <c r="IN30" s="87"/>
      <c r="IO30" s="87"/>
      <c r="IP30" s="87"/>
    </row>
    <row r="31" spans="1:250">
      <c r="A31" s="84" t="str">
        <f ca="1">Database!E28</f>
        <v>Four 1 Gbps RJ45 SFP Transceivers 10/100BASE-TX/1000BASE-T Ethernet ports (Not CE marked) (Withdraw)</v>
      </c>
      <c r="B31" s="85"/>
      <c r="C31" s="85"/>
      <c r="D31" s="88"/>
      <c r="E31" s="78"/>
      <c r="F31" s="78"/>
      <c r="G31" s="78"/>
      <c r="H31" s="91" t="str">
        <f ca="1">Database!F28</f>
        <v>J</v>
      </c>
      <c r="I31" s="82"/>
      <c r="J31" s="83"/>
      <c r="K31" s="79"/>
      <c r="L31" s="82"/>
      <c r="M31" s="83"/>
      <c r="N31" s="79"/>
      <c r="O31" s="80"/>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c r="BU31" s="87"/>
      <c r="BV31" s="87"/>
      <c r="BW31" s="87"/>
      <c r="BX31" s="87"/>
      <c r="BY31" s="87"/>
      <c r="BZ31" s="87"/>
      <c r="CA31" s="87"/>
      <c r="CB31" s="87"/>
      <c r="CC31" s="87"/>
      <c r="CD31" s="87"/>
      <c r="CE31" s="87"/>
      <c r="CF31" s="87"/>
      <c r="CG31" s="87"/>
      <c r="CH31" s="87"/>
      <c r="CI31" s="87"/>
      <c r="CJ31" s="87"/>
      <c r="CK31" s="87"/>
      <c r="CL31" s="87"/>
      <c r="CM31" s="87"/>
      <c r="CN31" s="87"/>
      <c r="CO31" s="87"/>
      <c r="CP31" s="87"/>
      <c r="CQ31" s="87"/>
      <c r="CR31" s="87"/>
      <c r="CS31" s="87"/>
      <c r="CT31" s="87"/>
      <c r="CU31" s="87"/>
      <c r="CV31" s="87"/>
      <c r="CW31" s="87"/>
      <c r="CX31" s="87"/>
      <c r="CY31" s="87"/>
      <c r="CZ31" s="87"/>
      <c r="DA31" s="87"/>
      <c r="DB31" s="87"/>
      <c r="DC31" s="87"/>
      <c r="DD31" s="87"/>
      <c r="DE31" s="87"/>
      <c r="DF31" s="87"/>
      <c r="DG31" s="87"/>
      <c r="DH31" s="87"/>
      <c r="DI31" s="87"/>
      <c r="DJ31" s="87"/>
      <c r="DK31" s="87"/>
      <c r="DL31" s="87"/>
      <c r="DM31" s="87"/>
      <c r="DN31" s="87"/>
      <c r="DO31" s="87"/>
      <c r="DP31" s="87"/>
      <c r="DQ31" s="87"/>
      <c r="DR31" s="87"/>
      <c r="DS31" s="87"/>
      <c r="DT31" s="87"/>
      <c r="DU31" s="87"/>
      <c r="DV31" s="87"/>
      <c r="DW31" s="87"/>
      <c r="DX31" s="87"/>
      <c r="DY31" s="87"/>
      <c r="DZ31" s="87"/>
      <c r="EA31" s="87"/>
      <c r="EB31" s="87"/>
      <c r="EC31" s="87"/>
      <c r="ED31" s="87"/>
      <c r="EE31" s="87"/>
      <c r="EF31" s="87"/>
      <c r="EG31" s="87"/>
      <c r="EH31" s="87"/>
      <c r="EI31" s="87"/>
      <c r="EJ31" s="87"/>
      <c r="EK31" s="87"/>
      <c r="EL31" s="87"/>
      <c r="EM31" s="87"/>
      <c r="EN31" s="87"/>
      <c r="EO31" s="87"/>
      <c r="EP31" s="87"/>
      <c r="EQ31" s="87"/>
      <c r="ER31" s="87"/>
      <c r="ES31" s="87"/>
      <c r="ET31" s="87"/>
      <c r="EU31" s="87"/>
      <c r="EV31" s="87"/>
      <c r="EW31" s="87"/>
      <c r="EX31" s="87"/>
      <c r="EY31" s="87"/>
      <c r="EZ31" s="87"/>
      <c r="FA31" s="87"/>
      <c r="FB31" s="87"/>
      <c r="FC31" s="87"/>
      <c r="FD31" s="87"/>
      <c r="FE31" s="87"/>
      <c r="FF31" s="87"/>
      <c r="FG31" s="87"/>
      <c r="FH31" s="87"/>
      <c r="FI31" s="87"/>
      <c r="FJ31" s="87"/>
      <c r="FK31" s="87"/>
      <c r="FL31" s="87"/>
      <c r="FM31" s="87"/>
      <c r="FN31" s="87"/>
      <c r="FO31" s="87"/>
      <c r="FP31" s="87"/>
      <c r="FQ31" s="87"/>
      <c r="FR31" s="87"/>
      <c r="FS31" s="87"/>
      <c r="FT31" s="87"/>
      <c r="FU31" s="87"/>
      <c r="FV31" s="87"/>
      <c r="FW31" s="87"/>
      <c r="FX31" s="87"/>
      <c r="FY31" s="87"/>
      <c r="FZ31" s="87"/>
      <c r="GA31" s="87"/>
      <c r="GB31" s="87"/>
      <c r="GC31" s="87"/>
      <c r="GD31" s="87"/>
      <c r="GE31" s="87"/>
      <c r="GF31" s="87"/>
      <c r="GG31" s="87"/>
      <c r="GH31" s="87"/>
      <c r="GI31" s="87"/>
      <c r="GJ31" s="87"/>
      <c r="GK31" s="87"/>
      <c r="GL31" s="87"/>
      <c r="GM31" s="87"/>
      <c r="GN31" s="87"/>
      <c r="GO31" s="87"/>
      <c r="GP31" s="87"/>
      <c r="GQ31" s="87"/>
      <c r="GR31" s="87"/>
      <c r="GS31" s="87"/>
      <c r="GT31" s="87"/>
      <c r="GU31" s="87"/>
      <c r="GV31" s="87"/>
      <c r="GW31" s="87"/>
      <c r="GX31" s="87"/>
      <c r="GY31" s="87"/>
      <c r="GZ31" s="87"/>
      <c r="HA31" s="87"/>
      <c r="HB31" s="87"/>
      <c r="HC31" s="87"/>
      <c r="HD31" s="87"/>
      <c r="HE31" s="87"/>
      <c r="HF31" s="87"/>
      <c r="HG31" s="87"/>
      <c r="HH31" s="87"/>
      <c r="HI31" s="87"/>
      <c r="HJ31" s="87"/>
      <c r="HK31" s="87"/>
      <c r="HL31" s="87"/>
      <c r="HM31" s="87"/>
      <c r="HN31" s="87"/>
      <c r="HO31" s="87"/>
      <c r="HP31" s="87"/>
      <c r="HQ31" s="87"/>
      <c r="HR31" s="87"/>
      <c r="HS31" s="87"/>
      <c r="HT31" s="87"/>
      <c r="HU31" s="87"/>
      <c r="HV31" s="87"/>
      <c r="HW31" s="87"/>
      <c r="HX31" s="87"/>
      <c r="HY31" s="87"/>
      <c r="HZ31" s="87"/>
      <c r="IA31" s="87"/>
      <c r="IB31" s="87"/>
      <c r="IC31" s="87"/>
      <c r="ID31" s="87"/>
      <c r="IE31" s="87"/>
      <c r="IF31" s="87"/>
      <c r="IG31" s="87"/>
      <c r="IH31" s="87"/>
      <c r="II31" s="87"/>
      <c r="IJ31" s="87"/>
      <c r="IK31" s="87"/>
      <c r="IL31" s="87"/>
      <c r="IM31" s="87"/>
      <c r="IN31" s="87"/>
      <c r="IO31" s="87"/>
      <c r="IP31" s="87"/>
    </row>
    <row r="32" spans="1:250">
      <c r="A32" s="84" t="str">
        <f ca="1">Database!E29</f>
        <v>Two 1 Gbps RJ45 SFP Transceivers 10/100BASE-TX/1000BASE-T Ethernet ports + Two 1 Gbps LC-type connector multi mode fiber 1000BASE-SX Ethernet for up to 0.5 km  (Withdraw)</v>
      </c>
      <c r="B32" s="85"/>
      <c r="C32" s="85"/>
      <c r="D32" s="88"/>
      <c r="E32" s="78"/>
      <c r="F32" s="78"/>
      <c r="G32" s="78"/>
      <c r="H32" s="91" t="str">
        <f ca="1">Database!F29</f>
        <v>K</v>
      </c>
      <c r="I32" s="82"/>
      <c r="J32" s="83"/>
      <c r="K32" s="79"/>
      <c r="L32" s="82"/>
      <c r="M32" s="83"/>
      <c r="N32" s="79"/>
      <c r="O32" s="80"/>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c r="BS32" s="87"/>
      <c r="BT32" s="87"/>
      <c r="BU32" s="87"/>
      <c r="BV32" s="87"/>
      <c r="BW32" s="87"/>
      <c r="BX32" s="87"/>
      <c r="BY32" s="87"/>
      <c r="BZ32" s="87"/>
      <c r="CA32" s="87"/>
      <c r="CB32" s="87"/>
      <c r="CC32" s="87"/>
      <c r="CD32" s="87"/>
      <c r="CE32" s="87"/>
      <c r="CF32" s="87"/>
      <c r="CG32" s="87"/>
      <c r="CH32" s="87"/>
      <c r="CI32" s="87"/>
      <c r="CJ32" s="87"/>
      <c r="CK32" s="87"/>
      <c r="CL32" s="87"/>
      <c r="CM32" s="87"/>
      <c r="CN32" s="87"/>
      <c r="CO32" s="87"/>
      <c r="CP32" s="87"/>
      <c r="CQ32" s="87"/>
      <c r="CR32" s="87"/>
      <c r="CS32" s="87"/>
      <c r="CT32" s="87"/>
      <c r="CU32" s="87"/>
      <c r="CV32" s="87"/>
      <c r="CW32" s="87"/>
      <c r="CX32" s="87"/>
      <c r="CY32" s="87"/>
      <c r="CZ32" s="87"/>
      <c r="DA32" s="87"/>
      <c r="DB32" s="87"/>
      <c r="DC32" s="87"/>
      <c r="DD32" s="87"/>
      <c r="DE32" s="87"/>
      <c r="DF32" s="87"/>
      <c r="DG32" s="87"/>
      <c r="DH32" s="87"/>
      <c r="DI32" s="87"/>
      <c r="DJ32" s="87"/>
      <c r="DK32" s="87"/>
      <c r="DL32" s="87"/>
      <c r="DM32" s="87"/>
      <c r="DN32" s="87"/>
      <c r="DO32" s="87"/>
      <c r="DP32" s="87"/>
      <c r="DQ32" s="87"/>
      <c r="DR32" s="87"/>
      <c r="DS32" s="87"/>
      <c r="DT32" s="87"/>
      <c r="DU32" s="87"/>
      <c r="DV32" s="87"/>
      <c r="DW32" s="87"/>
      <c r="DX32" s="87"/>
      <c r="DY32" s="87"/>
      <c r="DZ32" s="87"/>
      <c r="EA32" s="87"/>
      <c r="EB32" s="87"/>
      <c r="EC32" s="87"/>
      <c r="ED32" s="87"/>
      <c r="EE32" s="87"/>
      <c r="EF32" s="87"/>
      <c r="EG32" s="87"/>
      <c r="EH32" s="87"/>
      <c r="EI32" s="87"/>
      <c r="EJ32" s="87"/>
      <c r="EK32" s="87"/>
      <c r="EL32" s="87"/>
      <c r="EM32" s="87"/>
      <c r="EN32" s="87"/>
      <c r="EO32" s="87"/>
      <c r="EP32" s="87"/>
      <c r="EQ32" s="87"/>
      <c r="ER32" s="87"/>
      <c r="ES32" s="87"/>
      <c r="ET32" s="87"/>
      <c r="EU32" s="87"/>
      <c r="EV32" s="87"/>
      <c r="EW32" s="87"/>
      <c r="EX32" s="87"/>
      <c r="EY32" s="87"/>
      <c r="EZ32" s="87"/>
      <c r="FA32" s="87"/>
      <c r="FB32" s="87"/>
      <c r="FC32" s="87"/>
      <c r="FD32" s="87"/>
      <c r="FE32" s="87"/>
      <c r="FF32" s="87"/>
      <c r="FG32" s="87"/>
      <c r="FH32" s="87"/>
      <c r="FI32" s="87"/>
      <c r="FJ32" s="87"/>
      <c r="FK32" s="87"/>
      <c r="FL32" s="87"/>
      <c r="FM32" s="87"/>
      <c r="FN32" s="87"/>
      <c r="FO32" s="87"/>
      <c r="FP32" s="87"/>
      <c r="FQ32" s="87"/>
      <c r="FR32" s="87"/>
      <c r="FS32" s="87"/>
      <c r="FT32" s="87"/>
      <c r="FU32" s="87"/>
      <c r="FV32" s="87"/>
      <c r="FW32" s="87"/>
      <c r="FX32" s="87"/>
      <c r="FY32" s="87"/>
      <c r="FZ32" s="87"/>
      <c r="GA32" s="87"/>
      <c r="GB32" s="87"/>
      <c r="GC32" s="87"/>
      <c r="GD32" s="87"/>
      <c r="GE32" s="87"/>
      <c r="GF32" s="87"/>
      <c r="GG32" s="87"/>
      <c r="GH32" s="87"/>
      <c r="GI32" s="87"/>
      <c r="GJ32" s="87"/>
      <c r="GK32" s="87"/>
      <c r="GL32" s="87"/>
      <c r="GM32" s="87"/>
      <c r="GN32" s="87"/>
      <c r="GO32" s="87"/>
      <c r="GP32" s="87"/>
      <c r="GQ32" s="87"/>
      <c r="GR32" s="87"/>
      <c r="GS32" s="87"/>
      <c r="GT32" s="87"/>
      <c r="GU32" s="87"/>
      <c r="GV32" s="87"/>
      <c r="GW32" s="87"/>
      <c r="GX32" s="87"/>
      <c r="GY32" s="87"/>
      <c r="GZ32" s="87"/>
      <c r="HA32" s="87"/>
      <c r="HB32" s="87"/>
      <c r="HC32" s="87"/>
      <c r="HD32" s="87"/>
      <c r="HE32" s="87"/>
      <c r="HF32" s="87"/>
      <c r="HG32" s="87"/>
      <c r="HH32" s="87"/>
      <c r="HI32" s="87"/>
      <c r="HJ32" s="87"/>
      <c r="HK32" s="87"/>
      <c r="HL32" s="87"/>
      <c r="HM32" s="87"/>
      <c r="HN32" s="87"/>
      <c r="HO32" s="87"/>
      <c r="HP32" s="87"/>
      <c r="HQ32" s="87"/>
      <c r="HR32" s="87"/>
      <c r="HS32" s="87"/>
      <c r="HT32" s="87"/>
      <c r="HU32" s="87"/>
      <c r="HV32" s="87"/>
      <c r="HW32" s="87"/>
      <c r="HX32" s="87"/>
      <c r="HY32" s="87"/>
      <c r="HZ32" s="87"/>
      <c r="IA32" s="87"/>
      <c r="IB32" s="87"/>
      <c r="IC32" s="87"/>
      <c r="ID32" s="87"/>
      <c r="IE32" s="87"/>
      <c r="IF32" s="87"/>
      <c r="IG32" s="87"/>
      <c r="IH32" s="87"/>
      <c r="II32" s="87"/>
      <c r="IJ32" s="87"/>
      <c r="IK32" s="87"/>
      <c r="IL32" s="87"/>
      <c r="IM32" s="87"/>
      <c r="IN32" s="87"/>
      <c r="IO32" s="87"/>
      <c r="IP32" s="87"/>
    </row>
    <row r="33" spans="1:250">
      <c r="A33" s="84" t="str">
        <f ca="1">Database!E30</f>
        <v>Two 1 Gbps RJ45 SFP Transceivers 10/100BASE-TX/1000BASE-T Ethernet ports + Two 100 Mbps LC-type connector multi mode fiber 100BASE-FX Ethernet for up to 2 km (Withdraw)</v>
      </c>
      <c r="B33" s="85"/>
      <c r="C33" s="85"/>
      <c r="D33" s="88"/>
      <c r="E33" s="78"/>
      <c r="F33" s="78"/>
      <c r="G33" s="78"/>
      <c r="H33" s="91" t="str">
        <f ca="1">Database!F30</f>
        <v>L</v>
      </c>
      <c r="I33" s="82"/>
      <c r="J33" s="83"/>
      <c r="K33" s="79"/>
      <c r="L33" s="82"/>
      <c r="M33" s="83"/>
      <c r="N33" s="79"/>
      <c r="O33" s="80"/>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c r="BS33" s="87"/>
      <c r="BT33" s="87"/>
      <c r="BU33" s="87"/>
      <c r="BV33" s="87"/>
      <c r="BW33" s="87"/>
      <c r="BX33" s="87"/>
      <c r="BY33" s="87"/>
      <c r="BZ33" s="87"/>
      <c r="CA33" s="87"/>
      <c r="CB33" s="87"/>
      <c r="CC33" s="87"/>
      <c r="CD33" s="87"/>
      <c r="CE33" s="87"/>
      <c r="CF33" s="87"/>
      <c r="CG33" s="87"/>
      <c r="CH33" s="87"/>
      <c r="CI33" s="87"/>
      <c r="CJ33" s="87"/>
      <c r="CK33" s="87"/>
      <c r="CL33" s="87"/>
      <c r="CM33" s="87"/>
      <c r="CN33" s="87"/>
      <c r="CO33" s="87"/>
      <c r="CP33" s="87"/>
      <c r="CQ33" s="87"/>
      <c r="CR33" s="87"/>
      <c r="CS33" s="87"/>
      <c r="CT33" s="87"/>
      <c r="CU33" s="87"/>
      <c r="CV33" s="87"/>
      <c r="CW33" s="87"/>
      <c r="CX33" s="87"/>
      <c r="CY33" s="87"/>
      <c r="CZ33" s="87"/>
      <c r="DA33" s="87"/>
      <c r="DB33" s="87"/>
      <c r="DC33" s="87"/>
      <c r="DD33" s="87"/>
      <c r="DE33" s="87"/>
      <c r="DF33" s="87"/>
      <c r="DG33" s="87"/>
      <c r="DH33" s="87"/>
      <c r="DI33" s="87"/>
      <c r="DJ33" s="87"/>
      <c r="DK33" s="87"/>
      <c r="DL33" s="87"/>
      <c r="DM33" s="87"/>
      <c r="DN33" s="87"/>
      <c r="DO33" s="87"/>
      <c r="DP33" s="87"/>
      <c r="DQ33" s="87"/>
      <c r="DR33" s="87"/>
      <c r="DS33" s="87"/>
      <c r="DT33" s="87"/>
      <c r="DU33" s="87"/>
      <c r="DV33" s="87"/>
      <c r="DW33" s="87"/>
      <c r="DX33" s="87"/>
      <c r="DY33" s="87"/>
      <c r="DZ33" s="87"/>
      <c r="EA33" s="87"/>
      <c r="EB33" s="87"/>
      <c r="EC33" s="87"/>
      <c r="ED33" s="87"/>
      <c r="EE33" s="87"/>
      <c r="EF33" s="87"/>
      <c r="EG33" s="87"/>
      <c r="EH33" s="87"/>
      <c r="EI33" s="87"/>
      <c r="EJ33" s="87"/>
      <c r="EK33" s="87"/>
      <c r="EL33" s="87"/>
      <c r="EM33" s="87"/>
      <c r="EN33" s="87"/>
      <c r="EO33" s="87"/>
      <c r="EP33" s="87"/>
      <c r="EQ33" s="87"/>
      <c r="ER33" s="87"/>
      <c r="ES33" s="87"/>
      <c r="ET33" s="87"/>
      <c r="EU33" s="87"/>
      <c r="EV33" s="87"/>
      <c r="EW33" s="87"/>
      <c r="EX33" s="87"/>
      <c r="EY33" s="87"/>
      <c r="EZ33" s="87"/>
      <c r="FA33" s="87"/>
      <c r="FB33" s="87"/>
      <c r="FC33" s="87"/>
      <c r="FD33" s="87"/>
      <c r="FE33" s="87"/>
      <c r="FF33" s="87"/>
      <c r="FG33" s="87"/>
      <c r="FH33" s="87"/>
      <c r="FI33" s="87"/>
      <c r="FJ33" s="87"/>
      <c r="FK33" s="87"/>
      <c r="FL33" s="87"/>
      <c r="FM33" s="87"/>
      <c r="FN33" s="87"/>
      <c r="FO33" s="87"/>
      <c r="FP33" s="87"/>
      <c r="FQ33" s="87"/>
      <c r="FR33" s="87"/>
      <c r="FS33" s="87"/>
      <c r="FT33" s="87"/>
      <c r="FU33" s="87"/>
      <c r="FV33" s="87"/>
      <c r="FW33" s="87"/>
      <c r="FX33" s="87"/>
      <c r="FY33" s="87"/>
      <c r="FZ33" s="87"/>
      <c r="GA33" s="87"/>
      <c r="GB33" s="87"/>
      <c r="GC33" s="87"/>
      <c r="GD33" s="87"/>
      <c r="GE33" s="87"/>
      <c r="GF33" s="87"/>
      <c r="GG33" s="87"/>
      <c r="GH33" s="87"/>
      <c r="GI33" s="87"/>
      <c r="GJ33" s="87"/>
      <c r="GK33" s="87"/>
      <c r="GL33" s="87"/>
      <c r="GM33" s="87"/>
      <c r="GN33" s="87"/>
      <c r="GO33" s="87"/>
      <c r="GP33" s="87"/>
      <c r="GQ33" s="87"/>
      <c r="GR33" s="87"/>
      <c r="GS33" s="87"/>
      <c r="GT33" s="87"/>
      <c r="GU33" s="87"/>
      <c r="GV33" s="87"/>
      <c r="GW33" s="87"/>
      <c r="GX33" s="87"/>
      <c r="GY33" s="87"/>
      <c r="GZ33" s="87"/>
      <c r="HA33" s="87"/>
      <c r="HB33" s="87"/>
      <c r="HC33" s="87"/>
      <c r="HD33" s="87"/>
      <c r="HE33" s="87"/>
      <c r="HF33" s="87"/>
      <c r="HG33" s="87"/>
      <c r="HH33" s="87"/>
      <c r="HI33" s="87"/>
      <c r="HJ33" s="87"/>
      <c r="HK33" s="87"/>
      <c r="HL33" s="87"/>
      <c r="HM33" s="87"/>
      <c r="HN33" s="87"/>
      <c r="HO33" s="87"/>
      <c r="HP33" s="87"/>
      <c r="HQ33" s="87"/>
      <c r="HR33" s="87"/>
      <c r="HS33" s="87"/>
      <c r="HT33" s="87"/>
      <c r="HU33" s="87"/>
      <c r="HV33" s="87"/>
      <c r="HW33" s="87"/>
      <c r="HX33" s="87"/>
      <c r="HY33" s="87"/>
      <c r="HZ33" s="87"/>
      <c r="IA33" s="87"/>
      <c r="IB33" s="87"/>
      <c r="IC33" s="87"/>
      <c r="ID33" s="87"/>
      <c r="IE33" s="87"/>
      <c r="IF33" s="87"/>
      <c r="IG33" s="87"/>
      <c r="IH33" s="87"/>
      <c r="II33" s="87"/>
      <c r="IJ33" s="87"/>
      <c r="IK33" s="87"/>
      <c r="IL33" s="87"/>
      <c r="IM33" s="87"/>
      <c r="IN33" s="87"/>
      <c r="IO33" s="87"/>
      <c r="IP33" s="87"/>
    </row>
    <row r="34" spans="1:250">
      <c r="A34" s="84" t="str">
        <f ca="1">Database!E31</f>
        <v>Not installed (Withdraw)</v>
      </c>
      <c r="B34" s="85"/>
      <c r="C34" s="85"/>
      <c r="D34" s="88"/>
      <c r="E34" s="78"/>
      <c r="F34" s="78"/>
      <c r="G34" s="78"/>
      <c r="H34" s="91" t="str">
        <f ca="1">Database!F31</f>
        <v>X</v>
      </c>
      <c r="I34" s="82"/>
      <c r="J34" s="83"/>
      <c r="K34" s="79"/>
      <c r="L34" s="82"/>
      <c r="M34" s="83"/>
      <c r="N34" s="79"/>
      <c r="O34" s="80"/>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7"/>
      <c r="BS34" s="87"/>
      <c r="BT34" s="87"/>
      <c r="BU34" s="87"/>
      <c r="BV34" s="87"/>
      <c r="BW34" s="87"/>
      <c r="BX34" s="87"/>
      <c r="BY34" s="87"/>
      <c r="BZ34" s="87"/>
      <c r="CA34" s="87"/>
      <c r="CB34" s="87"/>
      <c r="CC34" s="87"/>
      <c r="CD34" s="87"/>
      <c r="CE34" s="87"/>
      <c r="CF34" s="87"/>
      <c r="CG34" s="87"/>
      <c r="CH34" s="87"/>
      <c r="CI34" s="87"/>
      <c r="CJ34" s="87"/>
      <c r="CK34" s="87"/>
      <c r="CL34" s="87"/>
      <c r="CM34" s="87"/>
      <c r="CN34" s="87"/>
      <c r="CO34" s="87"/>
      <c r="CP34" s="87"/>
      <c r="CQ34" s="87"/>
      <c r="CR34" s="87"/>
      <c r="CS34" s="87"/>
      <c r="CT34" s="87"/>
      <c r="CU34" s="87"/>
      <c r="CV34" s="87"/>
      <c r="CW34" s="87"/>
      <c r="CX34" s="87"/>
      <c r="CY34" s="87"/>
      <c r="CZ34" s="87"/>
      <c r="DA34" s="87"/>
      <c r="DB34" s="87"/>
      <c r="DC34" s="87"/>
      <c r="DD34" s="87"/>
      <c r="DE34" s="87"/>
      <c r="DF34" s="87"/>
      <c r="DG34" s="87"/>
      <c r="DH34" s="87"/>
      <c r="DI34" s="87"/>
      <c r="DJ34" s="87"/>
      <c r="DK34" s="87"/>
      <c r="DL34" s="87"/>
      <c r="DM34" s="87"/>
      <c r="DN34" s="87"/>
      <c r="DO34" s="87"/>
      <c r="DP34" s="87"/>
      <c r="DQ34" s="87"/>
      <c r="DR34" s="87"/>
      <c r="DS34" s="87"/>
      <c r="DT34" s="87"/>
      <c r="DU34" s="87"/>
      <c r="DV34" s="87"/>
      <c r="DW34" s="87"/>
      <c r="DX34" s="87"/>
      <c r="DY34" s="87"/>
      <c r="DZ34" s="87"/>
      <c r="EA34" s="87"/>
      <c r="EB34" s="87"/>
      <c r="EC34" s="87"/>
      <c r="ED34" s="87"/>
      <c r="EE34" s="87"/>
      <c r="EF34" s="87"/>
      <c r="EG34" s="87"/>
      <c r="EH34" s="87"/>
      <c r="EI34" s="87"/>
      <c r="EJ34" s="87"/>
      <c r="EK34" s="87"/>
      <c r="EL34" s="87"/>
      <c r="EM34" s="87"/>
      <c r="EN34" s="87"/>
      <c r="EO34" s="87"/>
      <c r="EP34" s="87"/>
      <c r="EQ34" s="87"/>
      <c r="ER34" s="87"/>
      <c r="ES34" s="87"/>
      <c r="ET34" s="87"/>
      <c r="EU34" s="87"/>
      <c r="EV34" s="87"/>
      <c r="EW34" s="87"/>
      <c r="EX34" s="87"/>
      <c r="EY34" s="87"/>
      <c r="EZ34" s="87"/>
      <c r="FA34" s="87"/>
      <c r="FB34" s="87"/>
      <c r="FC34" s="87"/>
      <c r="FD34" s="87"/>
      <c r="FE34" s="87"/>
      <c r="FF34" s="87"/>
      <c r="FG34" s="87"/>
      <c r="FH34" s="87"/>
      <c r="FI34" s="87"/>
      <c r="FJ34" s="87"/>
      <c r="FK34" s="87"/>
      <c r="FL34" s="87"/>
      <c r="FM34" s="87"/>
      <c r="FN34" s="87"/>
      <c r="FO34" s="87"/>
      <c r="FP34" s="87"/>
      <c r="FQ34" s="87"/>
      <c r="FR34" s="87"/>
      <c r="FS34" s="87"/>
      <c r="FT34" s="87"/>
      <c r="FU34" s="87"/>
      <c r="FV34" s="87"/>
      <c r="FW34" s="87"/>
      <c r="FX34" s="87"/>
      <c r="FY34" s="87"/>
      <c r="FZ34" s="87"/>
      <c r="GA34" s="87"/>
      <c r="GB34" s="87"/>
      <c r="GC34" s="87"/>
      <c r="GD34" s="87"/>
      <c r="GE34" s="87"/>
      <c r="GF34" s="87"/>
      <c r="GG34" s="87"/>
      <c r="GH34" s="87"/>
      <c r="GI34" s="87"/>
      <c r="GJ34" s="87"/>
      <c r="GK34" s="87"/>
      <c r="GL34" s="87"/>
      <c r="GM34" s="87"/>
      <c r="GN34" s="87"/>
      <c r="GO34" s="87"/>
      <c r="GP34" s="87"/>
      <c r="GQ34" s="87"/>
      <c r="GR34" s="87"/>
      <c r="GS34" s="87"/>
      <c r="GT34" s="87"/>
      <c r="GU34" s="87"/>
      <c r="GV34" s="87"/>
      <c r="GW34" s="87"/>
      <c r="GX34" s="87"/>
      <c r="GY34" s="87"/>
      <c r="GZ34" s="87"/>
      <c r="HA34" s="87"/>
      <c r="HB34" s="87"/>
      <c r="HC34" s="87"/>
      <c r="HD34" s="87"/>
      <c r="HE34" s="87"/>
      <c r="HF34" s="87"/>
      <c r="HG34" s="87"/>
      <c r="HH34" s="87"/>
      <c r="HI34" s="87"/>
      <c r="HJ34" s="87"/>
      <c r="HK34" s="87"/>
      <c r="HL34" s="87"/>
      <c r="HM34" s="87"/>
      <c r="HN34" s="87"/>
      <c r="HO34" s="87"/>
      <c r="HP34" s="87"/>
      <c r="HQ34" s="87"/>
      <c r="HR34" s="87"/>
      <c r="HS34" s="87"/>
      <c r="HT34" s="87"/>
      <c r="HU34" s="87"/>
      <c r="HV34" s="87"/>
      <c r="HW34" s="87"/>
      <c r="HX34" s="87"/>
      <c r="HY34" s="87"/>
      <c r="HZ34" s="87"/>
      <c r="IA34" s="87"/>
      <c r="IB34" s="87"/>
      <c r="IC34" s="87"/>
      <c r="ID34" s="87"/>
      <c r="IE34" s="87"/>
      <c r="IF34" s="87"/>
      <c r="IG34" s="87"/>
      <c r="IH34" s="87"/>
      <c r="II34" s="87"/>
      <c r="IJ34" s="87"/>
      <c r="IK34" s="87"/>
      <c r="IL34" s="87"/>
      <c r="IM34" s="87"/>
      <c r="IN34" s="87"/>
      <c r="IO34" s="87"/>
      <c r="IP34" s="87"/>
    </row>
    <row r="35" spans="1:250">
      <c r="A35" s="84"/>
      <c r="B35" s="85"/>
      <c r="C35" s="85"/>
      <c r="D35" s="88"/>
      <c r="E35" s="78"/>
      <c r="F35" s="78"/>
      <c r="G35" s="78"/>
      <c r="H35" s="78"/>
      <c r="I35" s="82"/>
      <c r="J35" s="83"/>
      <c r="K35" s="79"/>
      <c r="L35" s="82"/>
      <c r="M35" s="83"/>
      <c r="N35" s="79"/>
      <c r="O35" s="80"/>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7"/>
      <c r="BR35" s="87"/>
      <c r="BS35" s="87"/>
      <c r="BT35" s="87"/>
      <c r="BU35" s="87"/>
      <c r="BV35" s="87"/>
      <c r="BW35" s="87"/>
      <c r="BX35" s="87"/>
      <c r="BY35" s="87"/>
      <c r="BZ35" s="87"/>
      <c r="CA35" s="87"/>
      <c r="CB35" s="87"/>
      <c r="CC35" s="87"/>
      <c r="CD35" s="87"/>
      <c r="CE35" s="87"/>
      <c r="CF35" s="87"/>
      <c r="CG35" s="87"/>
      <c r="CH35" s="87"/>
      <c r="CI35" s="87"/>
      <c r="CJ35" s="87"/>
      <c r="CK35" s="87"/>
      <c r="CL35" s="87"/>
      <c r="CM35" s="87"/>
      <c r="CN35" s="87"/>
      <c r="CO35" s="87"/>
      <c r="CP35" s="87"/>
      <c r="CQ35" s="87"/>
      <c r="CR35" s="87"/>
      <c r="CS35" s="87"/>
      <c r="CT35" s="87"/>
      <c r="CU35" s="87"/>
      <c r="CV35" s="87"/>
      <c r="CW35" s="87"/>
      <c r="CX35" s="87"/>
      <c r="CY35" s="87"/>
      <c r="CZ35" s="87"/>
      <c r="DA35" s="87"/>
      <c r="DB35" s="87"/>
      <c r="DC35" s="87"/>
      <c r="DD35" s="87"/>
      <c r="DE35" s="87"/>
      <c r="DF35" s="87"/>
      <c r="DG35" s="87"/>
      <c r="DH35" s="87"/>
      <c r="DI35" s="87"/>
      <c r="DJ35" s="87"/>
      <c r="DK35" s="87"/>
      <c r="DL35" s="87"/>
      <c r="DM35" s="87"/>
      <c r="DN35" s="87"/>
      <c r="DO35" s="87"/>
      <c r="DP35" s="87"/>
      <c r="DQ35" s="87"/>
      <c r="DR35" s="87"/>
      <c r="DS35" s="87"/>
      <c r="DT35" s="87"/>
      <c r="DU35" s="87"/>
      <c r="DV35" s="87"/>
      <c r="DW35" s="87"/>
      <c r="DX35" s="87"/>
      <c r="DY35" s="87"/>
      <c r="DZ35" s="87"/>
      <c r="EA35" s="87"/>
      <c r="EB35" s="87"/>
      <c r="EC35" s="87"/>
      <c r="ED35" s="87"/>
      <c r="EE35" s="87"/>
      <c r="EF35" s="87"/>
      <c r="EG35" s="87"/>
      <c r="EH35" s="87"/>
      <c r="EI35" s="87"/>
      <c r="EJ35" s="87"/>
      <c r="EK35" s="87"/>
      <c r="EL35" s="87"/>
      <c r="EM35" s="87"/>
      <c r="EN35" s="87"/>
      <c r="EO35" s="87"/>
      <c r="EP35" s="87"/>
      <c r="EQ35" s="87"/>
      <c r="ER35" s="87"/>
      <c r="ES35" s="87"/>
      <c r="ET35" s="87"/>
      <c r="EU35" s="87"/>
      <c r="EV35" s="87"/>
      <c r="EW35" s="87"/>
      <c r="EX35" s="87"/>
      <c r="EY35" s="87"/>
      <c r="EZ35" s="87"/>
      <c r="FA35" s="87"/>
      <c r="FB35" s="87"/>
      <c r="FC35" s="87"/>
      <c r="FD35" s="87"/>
      <c r="FE35" s="87"/>
      <c r="FF35" s="87"/>
      <c r="FG35" s="87"/>
      <c r="FH35" s="87"/>
      <c r="FI35" s="87"/>
      <c r="FJ35" s="87"/>
      <c r="FK35" s="87"/>
      <c r="FL35" s="87"/>
      <c r="FM35" s="87"/>
      <c r="FN35" s="87"/>
      <c r="FO35" s="87"/>
      <c r="FP35" s="87"/>
      <c r="FQ35" s="87"/>
      <c r="FR35" s="87"/>
      <c r="FS35" s="87"/>
      <c r="FT35" s="87"/>
      <c r="FU35" s="87"/>
      <c r="FV35" s="87"/>
      <c r="FW35" s="87"/>
      <c r="FX35" s="87"/>
      <c r="FY35" s="87"/>
      <c r="FZ35" s="87"/>
      <c r="GA35" s="87"/>
      <c r="GB35" s="87"/>
      <c r="GC35" s="87"/>
      <c r="GD35" s="87"/>
      <c r="GE35" s="87"/>
      <c r="GF35" s="87"/>
      <c r="GG35" s="87"/>
      <c r="GH35" s="87"/>
      <c r="GI35" s="87"/>
      <c r="GJ35" s="87"/>
      <c r="GK35" s="87"/>
      <c r="GL35" s="87"/>
      <c r="GM35" s="87"/>
      <c r="GN35" s="87"/>
      <c r="GO35" s="87"/>
      <c r="GP35" s="87"/>
      <c r="GQ35" s="87"/>
      <c r="GR35" s="87"/>
      <c r="GS35" s="87"/>
      <c r="GT35" s="87"/>
      <c r="GU35" s="87"/>
      <c r="GV35" s="87"/>
      <c r="GW35" s="87"/>
      <c r="GX35" s="87"/>
      <c r="GY35" s="87"/>
      <c r="GZ35" s="87"/>
      <c r="HA35" s="87"/>
      <c r="HB35" s="87"/>
      <c r="HC35" s="87"/>
      <c r="HD35" s="87"/>
      <c r="HE35" s="87"/>
      <c r="HF35" s="87"/>
      <c r="HG35" s="87"/>
      <c r="HH35" s="87"/>
      <c r="HI35" s="87"/>
      <c r="HJ35" s="87"/>
      <c r="HK35" s="87"/>
      <c r="HL35" s="87"/>
      <c r="HM35" s="87"/>
      <c r="HN35" s="87"/>
      <c r="HO35" s="87"/>
      <c r="HP35" s="87"/>
      <c r="HQ35" s="87"/>
      <c r="HR35" s="87"/>
      <c r="HS35" s="87"/>
      <c r="HT35" s="87"/>
      <c r="HU35" s="87"/>
      <c r="HV35" s="87"/>
      <c r="HW35" s="87"/>
      <c r="HX35" s="87"/>
      <c r="HY35" s="87"/>
      <c r="HZ35" s="87"/>
      <c r="IA35" s="87"/>
      <c r="IB35" s="87"/>
      <c r="IC35" s="87"/>
      <c r="ID35" s="87"/>
      <c r="IE35" s="87"/>
      <c r="IF35" s="87"/>
      <c r="IG35" s="87"/>
      <c r="IH35" s="87"/>
      <c r="II35" s="87"/>
      <c r="IJ35" s="87"/>
      <c r="IK35" s="87"/>
      <c r="IL35" s="87"/>
      <c r="IM35" s="87"/>
      <c r="IN35" s="87"/>
      <c r="IO35" s="87"/>
      <c r="IP35" s="87"/>
    </row>
    <row r="36" spans="1:250">
      <c r="A36" s="89" t="str">
        <f>Database!B33</f>
        <v>Interface Module 2</v>
      </c>
      <c r="B36" s="71"/>
      <c r="C36" s="71"/>
      <c r="D36" s="90"/>
      <c r="E36" s="77"/>
      <c r="F36" s="77"/>
      <c r="G36" s="77"/>
      <c r="H36" s="77"/>
      <c r="I36" s="82"/>
      <c r="J36" s="83"/>
      <c r="K36" s="79"/>
      <c r="L36" s="82"/>
      <c r="M36" s="83"/>
      <c r="N36" s="79"/>
      <c r="O36" s="80"/>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7"/>
      <c r="BR36" s="87"/>
      <c r="BS36" s="87"/>
      <c r="BT36" s="87"/>
      <c r="BU36" s="87"/>
      <c r="BV36" s="87"/>
      <c r="BW36" s="87"/>
      <c r="BX36" s="87"/>
      <c r="BY36" s="87"/>
      <c r="BZ36" s="87"/>
      <c r="CA36" s="87"/>
      <c r="CB36" s="87"/>
      <c r="CC36" s="87"/>
      <c r="CD36" s="87"/>
      <c r="CE36" s="87"/>
      <c r="CF36" s="87"/>
      <c r="CG36" s="87"/>
      <c r="CH36" s="87"/>
      <c r="CI36" s="87"/>
      <c r="CJ36" s="87"/>
      <c r="CK36" s="87"/>
      <c r="CL36" s="87"/>
      <c r="CM36" s="87"/>
      <c r="CN36" s="87"/>
      <c r="CO36" s="87"/>
      <c r="CP36" s="87"/>
      <c r="CQ36" s="87"/>
      <c r="CR36" s="87"/>
      <c r="CS36" s="87"/>
      <c r="CT36" s="87"/>
      <c r="CU36" s="87"/>
      <c r="CV36" s="87"/>
      <c r="CW36" s="87"/>
      <c r="CX36" s="87"/>
      <c r="CY36" s="87"/>
      <c r="CZ36" s="87"/>
      <c r="DA36" s="87"/>
      <c r="DB36" s="87"/>
      <c r="DC36" s="87"/>
      <c r="DD36" s="87"/>
      <c r="DE36" s="87"/>
      <c r="DF36" s="87"/>
      <c r="DG36" s="87"/>
      <c r="DH36" s="87"/>
      <c r="DI36" s="87"/>
      <c r="DJ36" s="87"/>
      <c r="DK36" s="87"/>
      <c r="DL36" s="87"/>
      <c r="DM36" s="87"/>
      <c r="DN36" s="87"/>
      <c r="DO36" s="87"/>
      <c r="DP36" s="87"/>
      <c r="DQ36" s="87"/>
      <c r="DR36" s="87"/>
      <c r="DS36" s="87"/>
      <c r="DT36" s="87"/>
      <c r="DU36" s="87"/>
      <c r="DV36" s="87"/>
      <c r="DW36" s="87"/>
      <c r="DX36" s="87"/>
      <c r="DY36" s="87"/>
      <c r="DZ36" s="87"/>
      <c r="EA36" s="87"/>
      <c r="EB36" s="87"/>
      <c r="EC36" s="87"/>
      <c r="ED36" s="87"/>
      <c r="EE36" s="87"/>
      <c r="EF36" s="87"/>
      <c r="EG36" s="87"/>
      <c r="EH36" s="87"/>
      <c r="EI36" s="87"/>
      <c r="EJ36" s="87"/>
      <c r="EK36" s="87"/>
      <c r="EL36" s="87"/>
      <c r="EM36" s="87"/>
      <c r="EN36" s="87"/>
      <c r="EO36" s="87"/>
      <c r="EP36" s="87"/>
      <c r="EQ36" s="87"/>
      <c r="ER36" s="87"/>
      <c r="ES36" s="87"/>
      <c r="ET36" s="87"/>
      <c r="EU36" s="87"/>
      <c r="EV36" s="87"/>
      <c r="EW36" s="87"/>
      <c r="EX36" s="87"/>
      <c r="EY36" s="87"/>
      <c r="EZ36" s="87"/>
      <c r="FA36" s="87"/>
      <c r="FB36" s="87"/>
      <c r="FC36" s="87"/>
      <c r="FD36" s="87"/>
      <c r="FE36" s="87"/>
      <c r="FF36" s="87"/>
      <c r="FG36" s="87"/>
      <c r="FH36" s="87"/>
      <c r="FI36" s="87"/>
      <c r="FJ36" s="87"/>
      <c r="FK36" s="87"/>
      <c r="FL36" s="87"/>
      <c r="FM36" s="87"/>
      <c r="FN36" s="87"/>
      <c r="FO36" s="87"/>
      <c r="FP36" s="87"/>
      <c r="FQ36" s="87"/>
      <c r="FR36" s="87"/>
      <c r="FS36" s="87"/>
      <c r="FT36" s="87"/>
      <c r="FU36" s="87"/>
      <c r="FV36" s="87"/>
      <c r="FW36" s="87"/>
      <c r="FX36" s="87"/>
      <c r="FY36" s="87"/>
      <c r="FZ36" s="87"/>
      <c r="GA36" s="87"/>
      <c r="GB36" s="87"/>
      <c r="GC36" s="87"/>
      <c r="GD36" s="87"/>
      <c r="GE36" s="87"/>
      <c r="GF36" s="87"/>
      <c r="GG36" s="87"/>
      <c r="GH36" s="87"/>
      <c r="GI36" s="87"/>
      <c r="GJ36" s="87"/>
      <c r="GK36" s="87"/>
      <c r="GL36" s="87"/>
      <c r="GM36" s="87"/>
      <c r="GN36" s="87"/>
      <c r="GO36" s="87"/>
      <c r="GP36" s="87"/>
      <c r="GQ36" s="87"/>
      <c r="GR36" s="87"/>
      <c r="GS36" s="87"/>
      <c r="GT36" s="87"/>
      <c r="GU36" s="87"/>
      <c r="GV36" s="87"/>
      <c r="GW36" s="87"/>
      <c r="GX36" s="87"/>
      <c r="GY36" s="87"/>
      <c r="GZ36" s="87"/>
      <c r="HA36" s="87"/>
      <c r="HB36" s="87"/>
      <c r="HC36" s="87"/>
      <c r="HD36" s="87"/>
      <c r="HE36" s="87"/>
      <c r="HF36" s="87"/>
      <c r="HG36" s="87"/>
      <c r="HH36" s="87"/>
      <c r="HI36" s="87"/>
      <c r="HJ36" s="87"/>
      <c r="HK36" s="87"/>
      <c r="HL36" s="87"/>
      <c r="HM36" s="87"/>
      <c r="HN36" s="87"/>
      <c r="HO36" s="87"/>
      <c r="HP36" s="87"/>
      <c r="HQ36" s="87"/>
      <c r="HR36" s="87"/>
      <c r="HS36" s="87"/>
      <c r="HT36" s="87"/>
      <c r="HU36" s="87"/>
      <c r="HV36" s="87"/>
      <c r="HW36" s="87"/>
      <c r="HX36" s="87"/>
      <c r="HY36" s="87"/>
      <c r="HZ36" s="87"/>
      <c r="IA36" s="87"/>
      <c r="IB36" s="87"/>
      <c r="IC36" s="87"/>
      <c r="ID36" s="87"/>
      <c r="IE36" s="87"/>
      <c r="IF36" s="87"/>
      <c r="IG36" s="87"/>
      <c r="IH36" s="87"/>
      <c r="II36" s="87"/>
      <c r="IJ36" s="87"/>
      <c r="IK36" s="87"/>
      <c r="IL36" s="87"/>
      <c r="IM36" s="87"/>
      <c r="IN36" s="87"/>
      <c r="IO36" s="87"/>
      <c r="IP36" s="87"/>
    </row>
    <row r="37" spans="1:250">
      <c r="A37" s="84" t="str">
        <f ca="1">Database!E34</f>
        <v>Four 1 Gbps RJ45 copper 10/100BASE-TX/1000BASE-T Ethernet ports</v>
      </c>
      <c r="B37" s="85"/>
      <c r="C37" s="85"/>
      <c r="D37" s="88"/>
      <c r="E37" s="78"/>
      <c r="F37" s="78"/>
      <c r="G37" s="78"/>
      <c r="H37" s="78"/>
      <c r="I37" s="91" t="str">
        <f ca="1">Database!F34</f>
        <v>A</v>
      </c>
      <c r="J37" s="83"/>
      <c r="K37" s="79"/>
      <c r="L37" s="82"/>
      <c r="M37" s="83"/>
      <c r="N37" s="79"/>
      <c r="O37" s="80"/>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7"/>
      <c r="BR37" s="87"/>
      <c r="BS37" s="87"/>
      <c r="BT37" s="87"/>
      <c r="BU37" s="87"/>
      <c r="BV37" s="87"/>
      <c r="BW37" s="87"/>
      <c r="BX37" s="87"/>
      <c r="BY37" s="87"/>
      <c r="BZ37" s="87"/>
      <c r="CA37" s="87"/>
      <c r="CB37" s="87"/>
      <c r="CC37" s="87"/>
      <c r="CD37" s="87"/>
      <c r="CE37" s="87"/>
      <c r="CF37" s="87"/>
      <c r="CG37" s="87"/>
      <c r="CH37" s="87"/>
      <c r="CI37" s="87"/>
      <c r="CJ37" s="87"/>
      <c r="CK37" s="87"/>
      <c r="CL37" s="87"/>
      <c r="CM37" s="87"/>
      <c r="CN37" s="87"/>
      <c r="CO37" s="87"/>
      <c r="CP37" s="87"/>
      <c r="CQ37" s="87"/>
      <c r="CR37" s="87"/>
      <c r="CS37" s="87"/>
      <c r="CT37" s="87"/>
      <c r="CU37" s="87"/>
      <c r="CV37" s="87"/>
      <c r="CW37" s="87"/>
      <c r="CX37" s="87"/>
      <c r="CY37" s="87"/>
      <c r="CZ37" s="87"/>
      <c r="DA37" s="87"/>
      <c r="DB37" s="87"/>
      <c r="DC37" s="87"/>
      <c r="DD37" s="87"/>
      <c r="DE37" s="87"/>
      <c r="DF37" s="87"/>
      <c r="DG37" s="87"/>
      <c r="DH37" s="87"/>
      <c r="DI37" s="87"/>
      <c r="DJ37" s="87"/>
      <c r="DK37" s="87"/>
      <c r="DL37" s="87"/>
      <c r="DM37" s="87"/>
      <c r="DN37" s="87"/>
      <c r="DO37" s="87"/>
      <c r="DP37" s="87"/>
      <c r="DQ37" s="87"/>
      <c r="DR37" s="87"/>
      <c r="DS37" s="87"/>
      <c r="DT37" s="87"/>
      <c r="DU37" s="87"/>
      <c r="DV37" s="87"/>
      <c r="DW37" s="87"/>
      <c r="DX37" s="87"/>
      <c r="DY37" s="87"/>
      <c r="DZ37" s="87"/>
      <c r="EA37" s="87"/>
      <c r="EB37" s="87"/>
      <c r="EC37" s="87"/>
      <c r="ED37" s="87"/>
      <c r="EE37" s="87"/>
      <c r="EF37" s="87"/>
      <c r="EG37" s="87"/>
      <c r="EH37" s="87"/>
      <c r="EI37" s="87"/>
      <c r="EJ37" s="87"/>
      <c r="EK37" s="87"/>
      <c r="EL37" s="87"/>
      <c r="EM37" s="87"/>
      <c r="EN37" s="87"/>
      <c r="EO37" s="87"/>
      <c r="EP37" s="87"/>
      <c r="EQ37" s="87"/>
      <c r="ER37" s="87"/>
      <c r="ES37" s="87"/>
      <c r="ET37" s="87"/>
      <c r="EU37" s="87"/>
      <c r="EV37" s="87"/>
      <c r="EW37" s="87"/>
      <c r="EX37" s="87"/>
      <c r="EY37" s="87"/>
      <c r="EZ37" s="87"/>
      <c r="FA37" s="87"/>
      <c r="FB37" s="87"/>
      <c r="FC37" s="87"/>
      <c r="FD37" s="87"/>
      <c r="FE37" s="87"/>
      <c r="FF37" s="87"/>
      <c r="FG37" s="87"/>
      <c r="FH37" s="87"/>
      <c r="FI37" s="87"/>
      <c r="FJ37" s="87"/>
      <c r="FK37" s="87"/>
      <c r="FL37" s="87"/>
      <c r="FM37" s="87"/>
      <c r="FN37" s="87"/>
      <c r="FO37" s="87"/>
      <c r="FP37" s="87"/>
      <c r="FQ37" s="87"/>
      <c r="FR37" s="87"/>
      <c r="FS37" s="87"/>
      <c r="FT37" s="87"/>
      <c r="FU37" s="87"/>
      <c r="FV37" s="87"/>
      <c r="FW37" s="87"/>
      <c r="FX37" s="87"/>
      <c r="FY37" s="87"/>
      <c r="FZ37" s="87"/>
      <c r="GA37" s="87"/>
      <c r="GB37" s="87"/>
      <c r="GC37" s="87"/>
      <c r="GD37" s="87"/>
      <c r="GE37" s="87"/>
      <c r="GF37" s="87"/>
      <c r="GG37" s="87"/>
      <c r="GH37" s="87"/>
      <c r="GI37" s="87"/>
      <c r="GJ37" s="87"/>
      <c r="GK37" s="87"/>
      <c r="GL37" s="87"/>
      <c r="GM37" s="87"/>
      <c r="GN37" s="87"/>
      <c r="GO37" s="87"/>
      <c r="GP37" s="87"/>
      <c r="GQ37" s="87"/>
      <c r="GR37" s="87"/>
      <c r="GS37" s="87"/>
      <c r="GT37" s="87"/>
      <c r="GU37" s="87"/>
      <c r="GV37" s="87"/>
      <c r="GW37" s="87"/>
      <c r="GX37" s="87"/>
      <c r="GY37" s="87"/>
      <c r="GZ37" s="87"/>
      <c r="HA37" s="87"/>
      <c r="HB37" s="87"/>
      <c r="HC37" s="87"/>
      <c r="HD37" s="87"/>
      <c r="HE37" s="87"/>
      <c r="HF37" s="87"/>
      <c r="HG37" s="87"/>
      <c r="HH37" s="87"/>
      <c r="HI37" s="87"/>
      <c r="HJ37" s="87"/>
      <c r="HK37" s="87"/>
      <c r="HL37" s="87"/>
      <c r="HM37" s="87"/>
      <c r="HN37" s="87"/>
      <c r="HO37" s="87"/>
      <c r="HP37" s="87"/>
      <c r="HQ37" s="87"/>
      <c r="HR37" s="87"/>
      <c r="HS37" s="87"/>
      <c r="HT37" s="87"/>
      <c r="HU37" s="87"/>
      <c r="HV37" s="87"/>
      <c r="HW37" s="87"/>
      <c r="HX37" s="87"/>
      <c r="HY37" s="87"/>
      <c r="HZ37" s="87"/>
      <c r="IA37" s="87"/>
      <c r="IB37" s="87"/>
      <c r="IC37" s="87"/>
      <c r="ID37" s="87"/>
      <c r="IE37" s="87"/>
      <c r="IF37" s="87"/>
      <c r="IG37" s="87"/>
      <c r="IH37" s="87"/>
      <c r="II37" s="87"/>
      <c r="IJ37" s="87"/>
      <c r="IK37" s="87"/>
      <c r="IL37" s="87"/>
      <c r="IM37" s="87"/>
      <c r="IN37" s="87"/>
      <c r="IO37" s="87"/>
      <c r="IP37" s="87"/>
    </row>
    <row r="38" spans="1:250">
      <c r="A38" s="84" t="str">
        <f ca="1">Database!E35</f>
        <v>Four slots for SFP transceivers</v>
      </c>
      <c r="B38" s="85"/>
      <c r="C38" s="85"/>
      <c r="D38" s="88"/>
      <c r="E38" s="78"/>
      <c r="F38" s="78"/>
      <c r="G38" s="78"/>
      <c r="H38" s="78"/>
      <c r="I38" s="91" t="str">
        <f ca="1">Database!F35</f>
        <v>B</v>
      </c>
      <c r="J38" s="83"/>
      <c r="K38" s="79"/>
      <c r="L38" s="82"/>
      <c r="M38" s="83"/>
      <c r="N38" s="79"/>
      <c r="O38" s="80"/>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7"/>
      <c r="BR38" s="87"/>
      <c r="BS38" s="87"/>
      <c r="BT38" s="87"/>
      <c r="BU38" s="87"/>
      <c r="BV38" s="87"/>
      <c r="BW38" s="87"/>
      <c r="BX38" s="87"/>
      <c r="BY38" s="87"/>
      <c r="BZ38" s="87"/>
      <c r="CA38" s="87"/>
      <c r="CB38" s="87"/>
      <c r="CC38" s="87"/>
      <c r="CD38" s="87"/>
      <c r="CE38" s="87"/>
      <c r="CF38" s="87"/>
      <c r="CG38" s="87"/>
      <c r="CH38" s="87"/>
      <c r="CI38" s="87"/>
      <c r="CJ38" s="87"/>
      <c r="CK38" s="87"/>
      <c r="CL38" s="87"/>
      <c r="CM38" s="87"/>
      <c r="CN38" s="87"/>
      <c r="CO38" s="87"/>
      <c r="CP38" s="87"/>
      <c r="CQ38" s="87"/>
      <c r="CR38" s="87"/>
      <c r="CS38" s="87"/>
      <c r="CT38" s="87"/>
      <c r="CU38" s="87"/>
      <c r="CV38" s="87"/>
      <c r="CW38" s="87"/>
      <c r="CX38" s="87"/>
      <c r="CY38" s="87"/>
      <c r="CZ38" s="87"/>
      <c r="DA38" s="87"/>
      <c r="DB38" s="87"/>
      <c r="DC38" s="87"/>
      <c r="DD38" s="87"/>
      <c r="DE38" s="87"/>
      <c r="DF38" s="87"/>
      <c r="DG38" s="87"/>
      <c r="DH38" s="87"/>
      <c r="DI38" s="87"/>
      <c r="DJ38" s="87"/>
      <c r="DK38" s="87"/>
      <c r="DL38" s="87"/>
      <c r="DM38" s="87"/>
      <c r="DN38" s="87"/>
      <c r="DO38" s="87"/>
      <c r="DP38" s="87"/>
      <c r="DQ38" s="87"/>
      <c r="DR38" s="87"/>
      <c r="DS38" s="87"/>
      <c r="DT38" s="87"/>
      <c r="DU38" s="87"/>
      <c r="DV38" s="87"/>
      <c r="DW38" s="87"/>
      <c r="DX38" s="87"/>
      <c r="DY38" s="87"/>
      <c r="DZ38" s="87"/>
      <c r="EA38" s="87"/>
      <c r="EB38" s="87"/>
      <c r="EC38" s="87"/>
      <c r="ED38" s="87"/>
      <c r="EE38" s="87"/>
      <c r="EF38" s="87"/>
      <c r="EG38" s="87"/>
      <c r="EH38" s="87"/>
      <c r="EI38" s="87"/>
      <c r="EJ38" s="87"/>
      <c r="EK38" s="87"/>
      <c r="EL38" s="87"/>
      <c r="EM38" s="87"/>
      <c r="EN38" s="87"/>
      <c r="EO38" s="87"/>
      <c r="EP38" s="87"/>
      <c r="EQ38" s="87"/>
      <c r="ER38" s="87"/>
      <c r="ES38" s="87"/>
      <c r="ET38" s="87"/>
      <c r="EU38" s="87"/>
      <c r="EV38" s="87"/>
      <c r="EW38" s="87"/>
      <c r="EX38" s="87"/>
      <c r="EY38" s="87"/>
      <c r="EZ38" s="87"/>
      <c r="FA38" s="87"/>
      <c r="FB38" s="87"/>
      <c r="FC38" s="87"/>
      <c r="FD38" s="87"/>
      <c r="FE38" s="87"/>
      <c r="FF38" s="87"/>
      <c r="FG38" s="87"/>
      <c r="FH38" s="87"/>
      <c r="FI38" s="87"/>
      <c r="FJ38" s="87"/>
      <c r="FK38" s="87"/>
      <c r="FL38" s="87"/>
      <c r="FM38" s="87"/>
      <c r="FN38" s="87"/>
      <c r="FO38" s="87"/>
      <c r="FP38" s="87"/>
      <c r="FQ38" s="87"/>
      <c r="FR38" s="87"/>
      <c r="FS38" s="87"/>
      <c r="FT38" s="87"/>
      <c r="FU38" s="87"/>
      <c r="FV38" s="87"/>
      <c r="FW38" s="87"/>
      <c r="FX38" s="87"/>
      <c r="FY38" s="87"/>
      <c r="FZ38" s="87"/>
      <c r="GA38" s="87"/>
      <c r="GB38" s="87"/>
      <c r="GC38" s="87"/>
      <c r="GD38" s="87"/>
      <c r="GE38" s="87"/>
      <c r="GF38" s="87"/>
      <c r="GG38" s="87"/>
      <c r="GH38" s="87"/>
      <c r="GI38" s="87"/>
      <c r="GJ38" s="87"/>
      <c r="GK38" s="87"/>
      <c r="GL38" s="87"/>
      <c r="GM38" s="87"/>
      <c r="GN38" s="87"/>
      <c r="GO38" s="87"/>
      <c r="GP38" s="87"/>
      <c r="GQ38" s="87"/>
      <c r="GR38" s="87"/>
      <c r="GS38" s="87"/>
      <c r="GT38" s="87"/>
      <c r="GU38" s="87"/>
      <c r="GV38" s="87"/>
      <c r="GW38" s="87"/>
      <c r="GX38" s="87"/>
      <c r="GY38" s="87"/>
      <c r="GZ38" s="87"/>
      <c r="HA38" s="87"/>
      <c r="HB38" s="87"/>
      <c r="HC38" s="87"/>
      <c r="HD38" s="87"/>
      <c r="HE38" s="87"/>
      <c r="HF38" s="87"/>
      <c r="HG38" s="87"/>
      <c r="HH38" s="87"/>
      <c r="HI38" s="87"/>
      <c r="HJ38" s="87"/>
      <c r="HK38" s="87"/>
      <c r="HL38" s="87"/>
      <c r="HM38" s="87"/>
      <c r="HN38" s="87"/>
      <c r="HO38" s="87"/>
      <c r="HP38" s="87"/>
      <c r="HQ38" s="87"/>
      <c r="HR38" s="87"/>
      <c r="HS38" s="87"/>
      <c r="HT38" s="87"/>
      <c r="HU38" s="87"/>
      <c r="HV38" s="87"/>
      <c r="HW38" s="87"/>
      <c r="HX38" s="87"/>
      <c r="HY38" s="87"/>
      <c r="HZ38" s="87"/>
      <c r="IA38" s="87"/>
      <c r="IB38" s="87"/>
      <c r="IC38" s="87"/>
      <c r="ID38" s="87"/>
      <c r="IE38" s="87"/>
      <c r="IF38" s="87"/>
      <c r="IG38" s="87"/>
      <c r="IH38" s="87"/>
      <c r="II38" s="87"/>
      <c r="IJ38" s="87"/>
      <c r="IK38" s="87"/>
      <c r="IL38" s="87"/>
      <c r="IM38" s="87"/>
      <c r="IN38" s="87"/>
      <c r="IO38" s="87"/>
      <c r="IP38" s="87"/>
    </row>
    <row r="39" spans="1:250">
      <c r="A39" s="84" t="str">
        <f ca="1">Database!E36</f>
        <v>Four 1 Gbps LC-type connector multi mode fiber 1000BASE-SX Ethernet for up to 0.5 km</v>
      </c>
      <c r="B39" s="85"/>
      <c r="C39" s="85"/>
      <c r="D39" s="88"/>
      <c r="E39" s="78"/>
      <c r="F39" s="78"/>
      <c r="G39" s="78"/>
      <c r="H39" s="78"/>
      <c r="I39" s="91" t="str">
        <f ca="1">Database!F36</f>
        <v>C</v>
      </c>
      <c r="J39" s="83"/>
      <c r="K39" s="79"/>
      <c r="L39" s="82"/>
      <c r="M39" s="83"/>
      <c r="N39" s="79"/>
      <c r="O39" s="80"/>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7"/>
      <c r="BR39" s="87"/>
      <c r="BS39" s="87"/>
      <c r="BT39" s="87"/>
      <c r="BU39" s="87"/>
      <c r="BV39" s="87"/>
      <c r="BW39" s="87"/>
      <c r="BX39" s="87"/>
      <c r="BY39" s="87"/>
      <c r="BZ39" s="87"/>
      <c r="CA39" s="87"/>
      <c r="CB39" s="87"/>
      <c r="CC39" s="87"/>
      <c r="CD39" s="87"/>
      <c r="CE39" s="87"/>
      <c r="CF39" s="87"/>
      <c r="CG39" s="87"/>
      <c r="CH39" s="87"/>
      <c r="CI39" s="87"/>
      <c r="CJ39" s="87"/>
      <c r="CK39" s="87"/>
      <c r="CL39" s="87"/>
      <c r="CM39" s="87"/>
      <c r="CN39" s="87"/>
      <c r="CO39" s="87"/>
      <c r="CP39" s="87"/>
      <c r="CQ39" s="87"/>
      <c r="CR39" s="87"/>
      <c r="CS39" s="87"/>
      <c r="CT39" s="87"/>
      <c r="CU39" s="87"/>
      <c r="CV39" s="87"/>
      <c r="CW39" s="87"/>
      <c r="CX39" s="87"/>
      <c r="CY39" s="87"/>
      <c r="CZ39" s="87"/>
      <c r="DA39" s="87"/>
      <c r="DB39" s="87"/>
      <c r="DC39" s="87"/>
      <c r="DD39" s="87"/>
      <c r="DE39" s="87"/>
      <c r="DF39" s="87"/>
      <c r="DG39" s="87"/>
      <c r="DH39" s="87"/>
      <c r="DI39" s="87"/>
      <c r="DJ39" s="87"/>
      <c r="DK39" s="87"/>
      <c r="DL39" s="87"/>
      <c r="DM39" s="87"/>
      <c r="DN39" s="87"/>
      <c r="DO39" s="87"/>
      <c r="DP39" s="87"/>
      <c r="DQ39" s="87"/>
      <c r="DR39" s="87"/>
      <c r="DS39" s="87"/>
      <c r="DT39" s="87"/>
      <c r="DU39" s="87"/>
      <c r="DV39" s="87"/>
      <c r="DW39" s="87"/>
      <c r="DX39" s="87"/>
      <c r="DY39" s="87"/>
      <c r="DZ39" s="87"/>
      <c r="EA39" s="87"/>
      <c r="EB39" s="87"/>
      <c r="EC39" s="87"/>
      <c r="ED39" s="87"/>
      <c r="EE39" s="87"/>
      <c r="EF39" s="87"/>
      <c r="EG39" s="87"/>
      <c r="EH39" s="87"/>
      <c r="EI39" s="87"/>
      <c r="EJ39" s="87"/>
      <c r="EK39" s="87"/>
      <c r="EL39" s="87"/>
      <c r="EM39" s="87"/>
      <c r="EN39" s="87"/>
      <c r="EO39" s="87"/>
      <c r="EP39" s="87"/>
      <c r="EQ39" s="87"/>
      <c r="ER39" s="87"/>
      <c r="ES39" s="87"/>
      <c r="ET39" s="87"/>
      <c r="EU39" s="87"/>
      <c r="EV39" s="87"/>
      <c r="EW39" s="87"/>
      <c r="EX39" s="87"/>
      <c r="EY39" s="87"/>
      <c r="EZ39" s="87"/>
      <c r="FA39" s="87"/>
      <c r="FB39" s="87"/>
      <c r="FC39" s="87"/>
      <c r="FD39" s="87"/>
      <c r="FE39" s="87"/>
      <c r="FF39" s="87"/>
      <c r="FG39" s="87"/>
      <c r="FH39" s="87"/>
      <c r="FI39" s="87"/>
      <c r="FJ39" s="87"/>
      <c r="FK39" s="87"/>
      <c r="FL39" s="87"/>
      <c r="FM39" s="87"/>
      <c r="FN39" s="87"/>
      <c r="FO39" s="87"/>
      <c r="FP39" s="87"/>
      <c r="FQ39" s="87"/>
      <c r="FR39" s="87"/>
      <c r="FS39" s="87"/>
      <c r="FT39" s="87"/>
      <c r="FU39" s="87"/>
      <c r="FV39" s="87"/>
      <c r="FW39" s="87"/>
      <c r="FX39" s="87"/>
      <c r="FY39" s="87"/>
      <c r="FZ39" s="87"/>
      <c r="GA39" s="87"/>
      <c r="GB39" s="87"/>
      <c r="GC39" s="87"/>
      <c r="GD39" s="87"/>
      <c r="GE39" s="87"/>
      <c r="GF39" s="87"/>
      <c r="GG39" s="87"/>
      <c r="GH39" s="87"/>
      <c r="GI39" s="87"/>
      <c r="GJ39" s="87"/>
      <c r="GK39" s="87"/>
      <c r="GL39" s="87"/>
      <c r="GM39" s="87"/>
      <c r="GN39" s="87"/>
      <c r="GO39" s="87"/>
      <c r="GP39" s="87"/>
      <c r="GQ39" s="87"/>
      <c r="GR39" s="87"/>
      <c r="GS39" s="87"/>
      <c r="GT39" s="87"/>
      <c r="GU39" s="87"/>
      <c r="GV39" s="87"/>
      <c r="GW39" s="87"/>
      <c r="GX39" s="87"/>
      <c r="GY39" s="87"/>
      <c r="GZ39" s="87"/>
      <c r="HA39" s="87"/>
      <c r="HB39" s="87"/>
      <c r="HC39" s="87"/>
      <c r="HD39" s="87"/>
      <c r="HE39" s="87"/>
      <c r="HF39" s="87"/>
      <c r="HG39" s="87"/>
      <c r="HH39" s="87"/>
      <c r="HI39" s="87"/>
      <c r="HJ39" s="87"/>
      <c r="HK39" s="87"/>
      <c r="HL39" s="87"/>
      <c r="HM39" s="87"/>
      <c r="HN39" s="87"/>
      <c r="HO39" s="87"/>
      <c r="HP39" s="87"/>
      <c r="HQ39" s="87"/>
      <c r="HR39" s="87"/>
      <c r="HS39" s="87"/>
      <c r="HT39" s="87"/>
      <c r="HU39" s="87"/>
      <c r="HV39" s="87"/>
      <c r="HW39" s="87"/>
      <c r="HX39" s="87"/>
      <c r="HY39" s="87"/>
      <c r="HZ39" s="87"/>
      <c r="IA39" s="87"/>
      <c r="IB39" s="87"/>
      <c r="IC39" s="87"/>
      <c r="ID39" s="87"/>
      <c r="IE39" s="87"/>
      <c r="IF39" s="87"/>
      <c r="IG39" s="87"/>
      <c r="IH39" s="87"/>
      <c r="II39" s="87"/>
      <c r="IJ39" s="87"/>
      <c r="IK39" s="87"/>
      <c r="IL39" s="87"/>
      <c r="IM39" s="87"/>
      <c r="IN39" s="87"/>
      <c r="IO39" s="87"/>
      <c r="IP39" s="87"/>
    </row>
    <row r="40" spans="1:250">
      <c r="A40" s="84" t="str">
        <f ca="1">Database!E37</f>
        <v>Four 1 Gbps LC-type connector single mode fiber 1000BASE-LX Ethernet for up to 10 km</v>
      </c>
      <c r="B40" s="85"/>
      <c r="C40" s="85"/>
      <c r="D40" s="88"/>
      <c r="E40" s="78"/>
      <c r="F40" s="78"/>
      <c r="G40" s="78"/>
      <c r="H40" s="78"/>
      <c r="I40" s="91" t="str">
        <f ca="1">Database!F37</f>
        <v>D</v>
      </c>
      <c r="J40" s="83"/>
      <c r="K40" s="79"/>
      <c r="L40" s="82"/>
      <c r="M40" s="83"/>
      <c r="N40" s="79"/>
      <c r="O40" s="80"/>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7"/>
      <c r="BR40" s="87"/>
      <c r="BS40" s="87"/>
      <c r="BT40" s="87"/>
      <c r="BU40" s="87"/>
      <c r="BV40" s="87"/>
      <c r="BW40" s="87"/>
      <c r="BX40" s="87"/>
      <c r="BY40" s="87"/>
      <c r="BZ40" s="87"/>
      <c r="CA40" s="87"/>
      <c r="CB40" s="87"/>
      <c r="CC40" s="87"/>
      <c r="CD40" s="87"/>
      <c r="CE40" s="87"/>
      <c r="CF40" s="87"/>
      <c r="CG40" s="87"/>
      <c r="CH40" s="87"/>
      <c r="CI40" s="87"/>
      <c r="CJ40" s="87"/>
      <c r="CK40" s="87"/>
      <c r="CL40" s="87"/>
      <c r="CM40" s="87"/>
      <c r="CN40" s="87"/>
      <c r="CO40" s="87"/>
      <c r="CP40" s="87"/>
      <c r="CQ40" s="87"/>
      <c r="CR40" s="87"/>
      <c r="CS40" s="87"/>
      <c r="CT40" s="87"/>
      <c r="CU40" s="87"/>
      <c r="CV40" s="87"/>
      <c r="CW40" s="87"/>
      <c r="CX40" s="87"/>
      <c r="CY40" s="87"/>
      <c r="CZ40" s="87"/>
      <c r="DA40" s="87"/>
      <c r="DB40" s="87"/>
      <c r="DC40" s="87"/>
      <c r="DD40" s="87"/>
      <c r="DE40" s="87"/>
      <c r="DF40" s="87"/>
      <c r="DG40" s="87"/>
      <c r="DH40" s="87"/>
      <c r="DI40" s="87"/>
      <c r="DJ40" s="87"/>
      <c r="DK40" s="87"/>
      <c r="DL40" s="87"/>
      <c r="DM40" s="87"/>
      <c r="DN40" s="87"/>
      <c r="DO40" s="87"/>
      <c r="DP40" s="87"/>
      <c r="DQ40" s="87"/>
      <c r="DR40" s="87"/>
      <c r="DS40" s="87"/>
      <c r="DT40" s="87"/>
      <c r="DU40" s="87"/>
      <c r="DV40" s="87"/>
      <c r="DW40" s="87"/>
      <c r="DX40" s="87"/>
      <c r="DY40" s="87"/>
      <c r="DZ40" s="87"/>
      <c r="EA40" s="87"/>
      <c r="EB40" s="87"/>
      <c r="EC40" s="87"/>
      <c r="ED40" s="87"/>
      <c r="EE40" s="87"/>
      <c r="EF40" s="87"/>
      <c r="EG40" s="87"/>
      <c r="EH40" s="87"/>
      <c r="EI40" s="87"/>
      <c r="EJ40" s="87"/>
      <c r="EK40" s="87"/>
      <c r="EL40" s="87"/>
      <c r="EM40" s="87"/>
      <c r="EN40" s="87"/>
      <c r="EO40" s="87"/>
      <c r="EP40" s="87"/>
      <c r="EQ40" s="87"/>
      <c r="ER40" s="87"/>
      <c r="ES40" s="87"/>
      <c r="ET40" s="87"/>
      <c r="EU40" s="87"/>
      <c r="EV40" s="87"/>
      <c r="EW40" s="87"/>
      <c r="EX40" s="87"/>
      <c r="EY40" s="87"/>
      <c r="EZ40" s="87"/>
      <c r="FA40" s="87"/>
      <c r="FB40" s="87"/>
      <c r="FC40" s="87"/>
      <c r="FD40" s="87"/>
      <c r="FE40" s="87"/>
      <c r="FF40" s="87"/>
      <c r="FG40" s="87"/>
      <c r="FH40" s="87"/>
      <c r="FI40" s="87"/>
      <c r="FJ40" s="87"/>
      <c r="FK40" s="87"/>
      <c r="FL40" s="87"/>
      <c r="FM40" s="87"/>
      <c r="FN40" s="87"/>
      <c r="FO40" s="87"/>
      <c r="FP40" s="87"/>
      <c r="FQ40" s="87"/>
      <c r="FR40" s="87"/>
      <c r="FS40" s="87"/>
      <c r="FT40" s="87"/>
      <c r="FU40" s="87"/>
      <c r="FV40" s="87"/>
      <c r="FW40" s="87"/>
      <c r="FX40" s="87"/>
      <c r="FY40" s="87"/>
      <c r="FZ40" s="87"/>
      <c r="GA40" s="87"/>
      <c r="GB40" s="87"/>
      <c r="GC40" s="87"/>
      <c r="GD40" s="87"/>
      <c r="GE40" s="87"/>
      <c r="GF40" s="87"/>
      <c r="GG40" s="87"/>
      <c r="GH40" s="87"/>
      <c r="GI40" s="87"/>
      <c r="GJ40" s="87"/>
      <c r="GK40" s="87"/>
      <c r="GL40" s="87"/>
      <c r="GM40" s="87"/>
      <c r="GN40" s="87"/>
      <c r="GO40" s="87"/>
      <c r="GP40" s="87"/>
      <c r="GQ40" s="87"/>
      <c r="GR40" s="87"/>
      <c r="GS40" s="87"/>
      <c r="GT40" s="87"/>
      <c r="GU40" s="87"/>
      <c r="GV40" s="87"/>
      <c r="GW40" s="87"/>
      <c r="GX40" s="87"/>
      <c r="GY40" s="87"/>
      <c r="GZ40" s="87"/>
      <c r="HA40" s="87"/>
      <c r="HB40" s="87"/>
      <c r="HC40" s="87"/>
      <c r="HD40" s="87"/>
      <c r="HE40" s="87"/>
      <c r="HF40" s="87"/>
      <c r="HG40" s="87"/>
      <c r="HH40" s="87"/>
      <c r="HI40" s="87"/>
      <c r="HJ40" s="87"/>
      <c r="HK40" s="87"/>
      <c r="HL40" s="87"/>
      <c r="HM40" s="87"/>
      <c r="HN40" s="87"/>
      <c r="HO40" s="87"/>
      <c r="HP40" s="87"/>
      <c r="HQ40" s="87"/>
      <c r="HR40" s="87"/>
      <c r="HS40" s="87"/>
      <c r="HT40" s="87"/>
      <c r="HU40" s="87"/>
      <c r="HV40" s="87"/>
      <c r="HW40" s="87"/>
      <c r="HX40" s="87"/>
      <c r="HY40" s="87"/>
      <c r="HZ40" s="87"/>
      <c r="IA40" s="87"/>
      <c r="IB40" s="87"/>
      <c r="IC40" s="87"/>
      <c r="ID40" s="87"/>
      <c r="IE40" s="87"/>
      <c r="IF40" s="87"/>
      <c r="IG40" s="87"/>
      <c r="IH40" s="87"/>
      <c r="II40" s="87"/>
      <c r="IJ40" s="87"/>
      <c r="IK40" s="87"/>
      <c r="IL40" s="87"/>
      <c r="IM40" s="87"/>
      <c r="IN40" s="87"/>
      <c r="IO40" s="87"/>
      <c r="IP40" s="87"/>
    </row>
    <row r="41" spans="1:250">
      <c r="A41" s="84" t="str">
        <f ca="1">Database!E38</f>
        <v>Four 1 Gbps LC-type connector single mode fiber 1000BASE-ZX Ethernet for up to 40 km</v>
      </c>
      <c r="B41" s="85"/>
      <c r="C41" s="85"/>
      <c r="D41" s="88"/>
      <c r="E41" s="78"/>
      <c r="F41" s="78"/>
      <c r="G41" s="78"/>
      <c r="H41" s="78"/>
      <c r="I41" s="91" t="str">
        <f ca="1">Database!F38</f>
        <v>E</v>
      </c>
      <c r="J41" s="83"/>
      <c r="K41" s="79"/>
      <c r="L41" s="82"/>
      <c r="M41" s="83"/>
      <c r="N41" s="79"/>
      <c r="O41" s="80"/>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7"/>
      <c r="BR41" s="87"/>
      <c r="BS41" s="87"/>
      <c r="BT41" s="87"/>
      <c r="BU41" s="87"/>
      <c r="BV41" s="87"/>
      <c r="BW41" s="87"/>
      <c r="BX41" s="87"/>
      <c r="BY41" s="87"/>
      <c r="BZ41" s="87"/>
      <c r="CA41" s="87"/>
      <c r="CB41" s="87"/>
      <c r="CC41" s="87"/>
      <c r="CD41" s="87"/>
      <c r="CE41" s="87"/>
      <c r="CF41" s="87"/>
      <c r="CG41" s="87"/>
      <c r="CH41" s="87"/>
      <c r="CI41" s="87"/>
      <c r="CJ41" s="87"/>
      <c r="CK41" s="87"/>
      <c r="CL41" s="87"/>
      <c r="CM41" s="87"/>
      <c r="CN41" s="87"/>
      <c r="CO41" s="87"/>
      <c r="CP41" s="87"/>
      <c r="CQ41" s="87"/>
      <c r="CR41" s="87"/>
      <c r="CS41" s="87"/>
      <c r="CT41" s="87"/>
      <c r="CU41" s="87"/>
      <c r="CV41" s="87"/>
      <c r="CW41" s="87"/>
      <c r="CX41" s="87"/>
      <c r="CY41" s="87"/>
      <c r="CZ41" s="87"/>
      <c r="DA41" s="87"/>
      <c r="DB41" s="87"/>
      <c r="DC41" s="87"/>
      <c r="DD41" s="87"/>
      <c r="DE41" s="87"/>
      <c r="DF41" s="87"/>
      <c r="DG41" s="87"/>
      <c r="DH41" s="87"/>
      <c r="DI41" s="87"/>
      <c r="DJ41" s="87"/>
      <c r="DK41" s="87"/>
      <c r="DL41" s="87"/>
      <c r="DM41" s="87"/>
      <c r="DN41" s="87"/>
      <c r="DO41" s="87"/>
      <c r="DP41" s="87"/>
      <c r="DQ41" s="87"/>
      <c r="DR41" s="87"/>
      <c r="DS41" s="87"/>
      <c r="DT41" s="87"/>
      <c r="DU41" s="87"/>
      <c r="DV41" s="87"/>
      <c r="DW41" s="87"/>
      <c r="DX41" s="87"/>
      <c r="DY41" s="87"/>
      <c r="DZ41" s="87"/>
      <c r="EA41" s="87"/>
      <c r="EB41" s="87"/>
      <c r="EC41" s="87"/>
      <c r="ED41" s="87"/>
      <c r="EE41" s="87"/>
      <c r="EF41" s="87"/>
      <c r="EG41" s="87"/>
      <c r="EH41" s="87"/>
      <c r="EI41" s="87"/>
      <c r="EJ41" s="87"/>
      <c r="EK41" s="87"/>
      <c r="EL41" s="87"/>
      <c r="EM41" s="87"/>
      <c r="EN41" s="87"/>
      <c r="EO41" s="87"/>
      <c r="EP41" s="87"/>
      <c r="EQ41" s="87"/>
      <c r="ER41" s="87"/>
      <c r="ES41" s="87"/>
      <c r="ET41" s="87"/>
      <c r="EU41" s="87"/>
      <c r="EV41" s="87"/>
      <c r="EW41" s="87"/>
      <c r="EX41" s="87"/>
      <c r="EY41" s="87"/>
      <c r="EZ41" s="87"/>
      <c r="FA41" s="87"/>
      <c r="FB41" s="87"/>
      <c r="FC41" s="87"/>
      <c r="FD41" s="87"/>
      <c r="FE41" s="87"/>
      <c r="FF41" s="87"/>
      <c r="FG41" s="87"/>
      <c r="FH41" s="87"/>
      <c r="FI41" s="87"/>
      <c r="FJ41" s="87"/>
      <c r="FK41" s="87"/>
      <c r="FL41" s="87"/>
      <c r="FM41" s="87"/>
      <c r="FN41" s="87"/>
      <c r="FO41" s="87"/>
      <c r="FP41" s="87"/>
      <c r="FQ41" s="87"/>
      <c r="FR41" s="87"/>
      <c r="FS41" s="87"/>
      <c r="FT41" s="87"/>
      <c r="FU41" s="87"/>
      <c r="FV41" s="87"/>
      <c r="FW41" s="87"/>
      <c r="FX41" s="87"/>
      <c r="FY41" s="87"/>
      <c r="FZ41" s="87"/>
      <c r="GA41" s="87"/>
      <c r="GB41" s="87"/>
      <c r="GC41" s="87"/>
      <c r="GD41" s="87"/>
      <c r="GE41" s="87"/>
      <c r="GF41" s="87"/>
      <c r="GG41" s="87"/>
      <c r="GH41" s="87"/>
      <c r="GI41" s="87"/>
      <c r="GJ41" s="87"/>
      <c r="GK41" s="87"/>
      <c r="GL41" s="87"/>
      <c r="GM41" s="87"/>
      <c r="GN41" s="87"/>
      <c r="GO41" s="87"/>
      <c r="GP41" s="87"/>
      <c r="GQ41" s="87"/>
      <c r="GR41" s="87"/>
      <c r="GS41" s="87"/>
      <c r="GT41" s="87"/>
      <c r="GU41" s="87"/>
      <c r="GV41" s="87"/>
      <c r="GW41" s="87"/>
      <c r="GX41" s="87"/>
      <c r="GY41" s="87"/>
      <c r="GZ41" s="87"/>
      <c r="HA41" s="87"/>
      <c r="HB41" s="87"/>
      <c r="HC41" s="87"/>
      <c r="HD41" s="87"/>
      <c r="HE41" s="87"/>
      <c r="HF41" s="87"/>
      <c r="HG41" s="87"/>
      <c r="HH41" s="87"/>
      <c r="HI41" s="87"/>
      <c r="HJ41" s="87"/>
      <c r="HK41" s="87"/>
      <c r="HL41" s="87"/>
      <c r="HM41" s="87"/>
      <c r="HN41" s="87"/>
      <c r="HO41" s="87"/>
      <c r="HP41" s="87"/>
      <c r="HQ41" s="87"/>
      <c r="HR41" s="87"/>
      <c r="HS41" s="87"/>
      <c r="HT41" s="87"/>
      <c r="HU41" s="87"/>
      <c r="HV41" s="87"/>
      <c r="HW41" s="87"/>
      <c r="HX41" s="87"/>
      <c r="HY41" s="87"/>
      <c r="HZ41" s="87"/>
      <c r="IA41" s="87"/>
      <c r="IB41" s="87"/>
      <c r="IC41" s="87"/>
      <c r="ID41" s="87"/>
      <c r="IE41" s="87"/>
      <c r="IF41" s="87"/>
      <c r="IG41" s="87"/>
      <c r="IH41" s="87"/>
      <c r="II41" s="87"/>
      <c r="IJ41" s="87"/>
      <c r="IK41" s="87"/>
      <c r="IL41" s="87"/>
      <c r="IM41" s="87"/>
      <c r="IN41" s="87"/>
      <c r="IO41" s="87"/>
      <c r="IP41" s="87"/>
    </row>
    <row r="42" spans="1:250">
      <c r="A42" s="84" t="str">
        <f ca="1">Database!E39</f>
        <v>Four 1 Gbps LC-type connector single mode fiber 1000BASE-ZX Ethernet for up to 80 km</v>
      </c>
      <c r="B42" s="85"/>
      <c r="C42" s="85"/>
      <c r="D42" s="88"/>
      <c r="E42" s="78"/>
      <c r="F42" s="78"/>
      <c r="G42" s="78"/>
      <c r="H42" s="78"/>
      <c r="I42" s="91" t="str">
        <f ca="1">Database!F39</f>
        <v>F</v>
      </c>
      <c r="J42" s="83"/>
      <c r="K42" s="79"/>
      <c r="L42" s="82"/>
      <c r="M42" s="83"/>
      <c r="N42" s="79"/>
      <c r="O42" s="80"/>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7"/>
      <c r="BR42" s="87"/>
      <c r="BS42" s="87"/>
      <c r="BT42" s="87"/>
      <c r="BU42" s="87"/>
      <c r="BV42" s="87"/>
      <c r="BW42" s="87"/>
      <c r="BX42" s="87"/>
      <c r="BY42" s="87"/>
      <c r="BZ42" s="87"/>
      <c r="CA42" s="87"/>
      <c r="CB42" s="87"/>
      <c r="CC42" s="87"/>
      <c r="CD42" s="87"/>
      <c r="CE42" s="87"/>
      <c r="CF42" s="87"/>
      <c r="CG42" s="87"/>
      <c r="CH42" s="87"/>
      <c r="CI42" s="87"/>
      <c r="CJ42" s="87"/>
      <c r="CK42" s="87"/>
      <c r="CL42" s="87"/>
      <c r="CM42" s="87"/>
      <c r="CN42" s="87"/>
      <c r="CO42" s="87"/>
      <c r="CP42" s="87"/>
      <c r="CQ42" s="87"/>
      <c r="CR42" s="87"/>
      <c r="CS42" s="87"/>
      <c r="CT42" s="87"/>
      <c r="CU42" s="87"/>
      <c r="CV42" s="87"/>
      <c r="CW42" s="87"/>
      <c r="CX42" s="87"/>
      <c r="CY42" s="87"/>
      <c r="CZ42" s="87"/>
      <c r="DA42" s="87"/>
      <c r="DB42" s="87"/>
      <c r="DC42" s="87"/>
      <c r="DD42" s="87"/>
      <c r="DE42" s="87"/>
      <c r="DF42" s="87"/>
      <c r="DG42" s="87"/>
      <c r="DH42" s="87"/>
      <c r="DI42" s="87"/>
      <c r="DJ42" s="87"/>
      <c r="DK42" s="87"/>
      <c r="DL42" s="87"/>
      <c r="DM42" s="87"/>
      <c r="DN42" s="87"/>
      <c r="DO42" s="87"/>
      <c r="DP42" s="87"/>
      <c r="DQ42" s="87"/>
      <c r="DR42" s="87"/>
      <c r="DS42" s="87"/>
      <c r="DT42" s="87"/>
      <c r="DU42" s="87"/>
      <c r="DV42" s="87"/>
      <c r="DW42" s="87"/>
      <c r="DX42" s="87"/>
      <c r="DY42" s="87"/>
      <c r="DZ42" s="87"/>
      <c r="EA42" s="87"/>
      <c r="EB42" s="87"/>
      <c r="EC42" s="87"/>
      <c r="ED42" s="87"/>
      <c r="EE42" s="87"/>
      <c r="EF42" s="87"/>
      <c r="EG42" s="87"/>
      <c r="EH42" s="87"/>
      <c r="EI42" s="87"/>
      <c r="EJ42" s="87"/>
      <c r="EK42" s="87"/>
      <c r="EL42" s="87"/>
      <c r="EM42" s="87"/>
      <c r="EN42" s="87"/>
      <c r="EO42" s="87"/>
      <c r="EP42" s="87"/>
      <c r="EQ42" s="87"/>
      <c r="ER42" s="87"/>
      <c r="ES42" s="87"/>
      <c r="ET42" s="87"/>
      <c r="EU42" s="87"/>
      <c r="EV42" s="87"/>
      <c r="EW42" s="87"/>
      <c r="EX42" s="87"/>
      <c r="EY42" s="87"/>
      <c r="EZ42" s="87"/>
      <c r="FA42" s="87"/>
      <c r="FB42" s="87"/>
      <c r="FC42" s="87"/>
      <c r="FD42" s="87"/>
      <c r="FE42" s="87"/>
      <c r="FF42" s="87"/>
      <c r="FG42" s="87"/>
      <c r="FH42" s="87"/>
      <c r="FI42" s="87"/>
      <c r="FJ42" s="87"/>
      <c r="FK42" s="87"/>
      <c r="FL42" s="87"/>
      <c r="FM42" s="87"/>
      <c r="FN42" s="87"/>
      <c r="FO42" s="87"/>
      <c r="FP42" s="87"/>
      <c r="FQ42" s="87"/>
      <c r="FR42" s="87"/>
      <c r="FS42" s="87"/>
      <c r="FT42" s="87"/>
      <c r="FU42" s="87"/>
      <c r="FV42" s="87"/>
      <c r="FW42" s="87"/>
      <c r="FX42" s="87"/>
      <c r="FY42" s="87"/>
      <c r="FZ42" s="87"/>
      <c r="GA42" s="87"/>
      <c r="GB42" s="87"/>
      <c r="GC42" s="87"/>
      <c r="GD42" s="87"/>
      <c r="GE42" s="87"/>
      <c r="GF42" s="87"/>
      <c r="GG42" s="87"/>
      <c r="GH42" s="87"/>
      <c r="GI42" s="87"/>
      <c r="GJ42" s="87"/>
      <c r="GK42" s="87"/>
      <c r="GL42" s="87"/>
      <c r="GM42" s="87"/>
      <c r="GN42" s="87"/>
      <c r="GO42" s="87"/>
      <c r="GP42" s="87"/>
      <c r="GQ42" s="87"/>
      <c r="GR42" s="87"/>
      <c r="GS42" s="87"/>
      <c r="GT42" s="87"/>
      <c r="GU42" s="87"/>
      <c r="GV42" s="87"/>
      <c r="GW42" s="87"/>
      <c r="GX42" s="87"/>
      <c r="GY42" s="87"/>
      <c r="GZ42" s="87"/>
      <c r="HA42" s="87"/>
      <c r="HB42" s="87"/>
      <c r="HC42" s="87"/>
      <c r="HD42" s="87"/>
      <c r="HE42" s="87"/>
      <c r="HF42" s="87"/>
      <c r="HG42" s="87"/>
      <c r="HH42" s="87"/>
      <c r="HI42" s="87"/>
      <c r="HJ42" s="87"/>
      <c r="HK42" s="87"/>
      <c r="HL42" s="87"/>
      <c r="HM42" s="87"/>
      <c r="HN42" s="87"/>
      <c r="HO42" s="87"/>
      <c r="HP42" s="87"/>
      <c r="HQ42" s="87"/>
      <c r="HR42" s="87"/>
      <c r="HS42" s="87"/>
      <c r="HT42" s="87"/>
      <c r="HU42" s="87"/>
      <c r="HV42" s="87"/>
      <c r="HW42" s="87"/>
      <c r="HX42" s="87"/>
      <c r="HY42" s="87"/>
      <c r="HZ42" s="87"/>
      <c r="IA42" s="87"/>
      <c r="IB42" s="87"/>
      <c r="IC42" s="87"/>
      <c r="ID42" s="87"/>
      <c r="IE42" s="87"/>
      <c r="IF42" s="87"/>
      <c r="IG42" s="87"/>
      <c r="IH42" s="87"/>
      <c r="II42" s="87"/>
      <c r="IJ42" s="87"/>
      <c r="IK42" s="87"/>
      <c r="IL42" s="87"/>
      <c r="IM42" s="87"/>
      <c r="IN42" s="87"/>
      <c r="IO42" s="87"/>
      <c r="IP42" s="87"/>
    </row>
    <row r="43" spans="1:250">
      <c r="A43" s="84" t="str">
        <f ca="1">Database!E40</f>
        <v>Four 100 Mbps LC-type connector multi mode fiber 100BASE-FX Ethernet for up to 2 km</v>
      </c>
      <c r="B43" s="85"/>
      <c r="C43" s="85"/>
      <c r="D43" s="88"/>
      <c r="E43" s="78"/>
      <c r="F43" s="78"/>
      <c r="G43" s="78"/>
      <c r="H43" s="78"/>
      <c r="I43" s="91" t="str">
        <f ca="1">Database!F40</f>
        <v>H</v>
      </c>
      <c r="J43" s="83"/>
      <c r="K43" s="79"/>
      <c r="L43" s="82"/>
      <c r="M43" s="83"/>
      <c r="N43" s="79"/>
      <c r="O43" s="80"/>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7"/>
      <c r="BR43" s="87"/>
      <c r="BS43" s="87"/>
      <c r="BT43" s="87"/>
      <c r="BU43" s="87"/>
      <c r="BV43" s="87"/>
      <c r="BW43" s="87"/>
      <c r="BX43" s="87"/>
      <c r="BY43" s="87"/>
      <c r="BZ43" s="87"/>
      <c r="CA43" s="87"/>
      <c r="CB43" s="87"/>
      <c r="CC43" s="87"/>
      <c r="CD43" s="87"/>
      <c r="CE43" s="87"/>
      <c r="CF43" s="87"/>
      <c r="CG43" s="87"/>
      <c r="CH43" s="87"/>
      <c r="CI43" s="87"/>
      <c r="CJ43" s="87"/>
      <c r="CK43" s="87"/>
      <c r="CL43" s="87"/>
      <c r="CM43" s="87"/>
      <c r="CN43" s="87"/>
      <c r="CO43" s="87"/>
      <c r="CP43" s="87"/>
      <c r="CQ43" s="87"/>
      <c r="CR43" s="87"/>
      <c r="CS43" s="87"/>
      <c r="CT43" s="87"/>
      <c r="CU43" s="87"/>
      <c r="CV43" s="87"/>
      <c r="CW43" s="87"/>
      <c r="CX43" s="87"/>
      <c r="CY43" s="87"/>
      <c r="CZ43" s="87"/>
      <c r="DA43" s="87"/>
      <c r="DB43" s="87"/>
      <c r="DC43" s="87"/>
      <c r="DD43" s="87"/>
      <c r="DE43" s="87"/>
      <c r="DF43" s="87"/>
      <c r="DG43" s="87"/>
      <c r="DH43" s="87"/>
      <c r="DI43" s="87"/>
      <c r="DJ43" s="87"/>
      <c r="DK43" s="87"/>
      <c r="DL43" s="87"/>
      <c r="DM43" s="87"/>
      <c r="DN43" s="87"/>
      <c r="DO43" s="87"/>
      <c r="DP43" s="87"/>
      <c r="DQ43" s="87"/>
      <c r="DR43" s="87"/>
      <c r="DS43" s="87"/>
      <c r="DT43" s="87"/>
      <c r="DU43" s="87"/>
      <c r="DV43" s="87"/>
      <c r="DW43" s="87"/>
      <c r="DX43" s="87"/>
      <c r="DY43" s="87"/>
      <c r="DZ43" s="87"/>
      <c r="EA43" s="87"/>
      <c r="EB43" s="87"/>
      <c r="EC43" s="87"/>
      <c r="ED43" s="87"/>
      <c r="EE43" s="87"/>
      <c r="EF43" s="87"/>
      <c r="EG43" s="87"/>
      <c r="EH43" s="87"/>
      <c r="EI43" s="87"/>
      <c r="EJ43" s="87"/>
      <c r="EK43" s="87"/>
      <c r="EL43" s="87"/>
      <c r="EM43" s="87"/>
      <c r="EN43" s="87"/>
      <c r="EO43" s="87"/>
      <c r="EP43" s="87"/>
      <c r="EQ43" s="87"/>
      <c r="ER43" s="87"/>
      <c r="ES43" s="87"/>
      <c r="ET43" s="87"/>
      <c r="EU43" s="87"/>
      <c r="EV43" s="87"/>
      <c r="EW43" s="87"/>
      <c r="EX43" s="87"/>
      <c r="EY43" s="87"/>
      <c r="EZ43" s="87"/>
      <c r="FA43" s="87"/>
      <c r="FB43" s="87"/>
      <c r="FC43" s="87"/>
      <c r="FD43" s="87"/>
      <c r="FE43" s="87"/>
      <c r="FF43" s="87"/>
      <c r="FG43" s="87"/>
      <c r="FH43" s="87"/>
      <c r="FI43" s="87"/>
      <c r="FJ43" s="87"/>
      <c r="FK43" s="87"/>
      <c r="FL43" s="87"/>
      <c r="FM43" s="87"/>
      <c r="FN43" s="87"/>
      <c r="FO43" s="87"/>
      <c r="FP43" s="87"/>
      <c r="FQ43" s="87"/>
      <c r="FR43" s="87"/>
      <c r="FS43" s="87"/>
      <c r="FT43" s="87"/>
      <c r="FU43" s="87"/>
      <c r="FV43" s="87"/>
      <c r="FW43" s="87"/>
      <c r="FX43" s="87"/>
      <c r="FY43" s="87"/>
      <c r="FZ43" s="87"/>
      <c r="GA43" s="87"/>
      <c r="GB43" s="87"/>
      <c r="GC43" s="87"/>
      <c r="GD43" s="87"/>
      <c r="GE43" s="87"/>
      <c r="GF43" s="87"/>
      <c r="GG43" s="87"/>
      <c r="GH43" s="87"/>
      <c r="GI43" s="87"/>
      <c r="GJ43" s="87"/>
      <c r="GK43" s="87"/>
      <c r="GL43" s="87"/>
      <c r="GM43" s="87"/>
      <c r="GN43" s="87"/>
      <c r="GO43" s="87"/>
      <c r="GP43" s="87"/>
      <c r="GQ43" s="87"/>
      <c r="GR43" s="87"/>
      <c r="GS43" s="87"/>
      <c r="GT43" s="87"/>
      <c r="GU43" s="87"/>
      <c r="GV43" s="87"/>
      <c r="GW43" s="87"/>
      <c r="GX43" s="87"/>
      <c r="GY43" s="87"/>
      <c r="GZ43" s="87"/>
      <c r="HA43" s="87"/>
      <c r="HB43" s="87"/>
      <c r="HC43" s="87"/>
      <c r="HD43" s="87"/>
      <c r="HE43" s="87"/>
      <c r="HF43" s="87"/>
      <c r="HG43" s="87"/>
      <c r="HH43" s="87"/>
      <c r="HI43" s="87"/>
      <c r="HJ43" s="87"/>
      <c r="HK43" s="87"/>
      <c r="HL43" s="87"/>
      <c r="HM43" s="87"/>
      <c r="HN43" s="87"/>
      <c r="HO43" s="87"/>
      <c r="HP43" s="87"/>
      <c r="HQ43" s="87"/>
      <c r="HR43" s="87"/>
      <c r="HS43" s="87"/>
      <c r="HT43" s="87"/>
      <c r="HU43" s="87"/>
      <c r="HV43" s="87"/>
      <c r="HW43" s="87"/>
      <c r="HX43" s="87"/>
      <c r="HY43" s="87"/>
      <c r="HZ43" s="87"/>
      <c r="IA43" s="87"/>
      <c r="IB43" s="87"/>
      <c r="IC43" s="87"/>
      <c r="ID43" s="87"/>
      <c r="IE43" s="87"/>
      <c r="IF43" s="87"/>
      <c r="IG43" s="87"/>
      <c r="IH43" s="87"/>
      <c r="II43" s="87"/>
      <c r="IJ43" s="87"/>
      <c r="IK43" s="87"/>
      <c r="IL43" s="87"/>
      <c r="IM43" s="87"/>
      <c r="IN43" s="87"/>
      <c r="IO43" s="87"/>
      <c r="IP43" s="87"/>
    </row>
    <row r="44" spans="1:250">
      <c r="A44" s="84" t="str">
        <f ca="1">Database!E41</f>
        <v>Four RJ45 copper 10/100BASE-TX</v>
      </c>
      <c r="B44" s="85"/>
      <c r="C44" s="85"/>
      <c r="D44" s="88"/>
      <c r="E44" s="78"/>
      <c r="F44" s="78"/>
      <c r="G44" s="78"/>
      <c r="H44" s="78"/>
      <c r="I44" s="91" t="str">
        <f ca="1">Database!F41</f>
        <v>I</v>
      </c>
      <c r="J44" s="83"/>
      <c r="K44" s="79"/>
      <c r="L44" s="82"/>
      <c r="M44" s="83"/>
      <c r="N44" s="79"/>
      <c r="O44" s="80"/>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c r="BY44" s="87"/>
      <c r="BZ44" s="87"/>
      <c r="CA44" s="87"/>
      <c r="CB44" s="87"/>
      <c r="CC44" s="87"/>
      <c r="CD44" s="87"/>
      <c r="CE44" s="87"/>
      <c r="CF44" s="87"/>
      <c r="CG44" s="87"/>
      <c r="CH44" s="87"/>
      <c r="CI44" s="87"/>
      <c r="CJ44" s="87"/>
      <c r="CK44" s="87"/>
      <c r="CL44" s="87"/>
      <c r="CM44" s="87"/>
      <c r="CN44" s="87"/>
      <c r="CO44" s="87"/>
      <c r="CP44" s="87"/>
      <c r="CQ44" s="87"/>
      <c r="CR44" s="87"/>
      <c r="CS44" s="87"/>
      <c r="CT44" s="87"/>
      <c r="CU44" s="87"/>
      <c r="CV44" s="87"/>
      <c r="CW44" s="87"/>
      <c r="CX44" s="87"/>
      <c r="CY44" s="87"/>
      <c r="CZ44" s="87"/>
      <c r="DA44" s="87"/>
      <c r="DB44" s="87"/>
      <c r="DC44" s="87"/>
      <c r="DD44" s="87"/>
      <c r="DE44" s="87"/>
      <c r="DF44" s="87"/>
      <c r="DG44" s="87"/>
      <c r="DH44" s="87"/>
      <c r="DI44" s="87"/>
      <c r="DJ44" s="87"/>
      <c r="DK44" s="87"/>
      <c r="DL44" s="87"/>
      <c r="DM44" s="87"/>
      <c r="DN44" s="87"/>
      <c r="DO44" s="87"/>
      <c r="DP44" s="87"/>
      <c r="DQ44" s="87"/>
      <c r="DR44" s="87"/>
      <c r="DS44" s="87"/>
      <c r="DT44" s="87"/>
      <c r="DU44" s="87"/>
      <c r="DV44" s="87"/>
      <c r="DW44" s="87"/>
      <c r="DX44" s="87"/>
      <c r="DY44" s="87"/>
      <c r="DZ44" s="87"/>
      <c r="EA44" s="87"/>
      <c r="EB44" s="87"/>
      <c r="EC44" s="87"/>
      <c r="ED44" s="87"/>
      <c r="EE44" s="87"/>
      <c r="EF44" s="87"/>
      <c r="EG44" s="87"/>
      <c r="EH44" s="87"/>
      <c r="EI44" s="87"/>
      <c r="EJ44" s="87"/>
      <c r="EK44" s="87"/>
      <c r="EL44" s="87"/>
      <c r="EM44" s="87"/>
      <c r="EN44" s="87"/>
      <c r="EO44" s="87"/>
      <c r="EP44" s="87"/>
      <c r="EQ44" s="87"/>
      <c r="ER44" s="87"/>
      <c r="ES44" s="87"/>
      <c r="ET44" s="87"/>
      <c r="EU44" s="87"/>
      <c r="EV44" s="87"/>
      <c r="EW44" s="87"/>
      <c r="EX44" s="87"/>
      <c r="EY44" s="87"/>
      <c r="EZ44" s="87"/>
      <c r="FA44" s="87"/>
      <c r="FB44" s="87"/>
      <c r="FC44" s="87"/>
      <c r="FD44" s="87"/>
      <c r="FE44" s="87"/>
      <c r="FF44" s="87"/>
      <c r="FG44" s="87"/>
      <c r="FH44" s="87"/>
      <c r="FI44" s="87"/>
      <c r="FJ44" s="87"/>
      <c r="FK44" s="87"/>
      <c r="FL44" s="87"/>
      <c r="FM44" s="87"/>
      <c r="FN44" s="87"/>
      <c r="FO44" s="87"/>
      <c r="FP44" s="87"/>
      <c r="FQ44" s="87"/>
      <c r="FR44" s="87"/>
      <c r="FS44" s="87"/>
      <c r="FT44" s="87"/>
      <c r="FU44" s="87"/>
      <c r="FV44" s="87"/>
      <c r="FW44" s="87"/>
      <c r="FX44" s="87"/>
      <c r="FY44" s="87"/>
      <c r="FZ44" s="87"/>
      <c r="GA44" s="87"/>
      <c r="GB44" s="87"/>
      <c r="GC44" s="87"/>
      <c r="GD44" s="87"/>
      <c r="GE44" s="87"/>
      <c r="GF44" s="87"/>
      <c r="GG44" s="87"/>
      <c r="GH44" s="87"/>
      <c r="GI44" s="87"/>
      <c r="GJ44" s="87"/>
      <c r="GK44" s="87"/>
      <c r="GL44" s="87"/>
      <c r="GM44" s="87"/>
      <c r="GN44" s="87"/>
      <c r="GO44" s="87"/>
      <c r="GP44" s="87"/>
      <c r="GQ44" s="87"/>
      <c r="GR44" s="87"/>
      <c r="GS44" s="87"/>
      <c r="GT44" s="87"/>
      <c r="GU44" s="87"/>
      <c r="GV44" s="87"/>
      <c r="GW44" s="87"/>
      <c r="GX44" s="87"/>
      <c r="GY44" s="87"/>
      <c r="GZ44" s="87"/>
      <c r="HA44" s="87"/>
      <c r="HB44" s="87"/>
      <c r="HC44" s="87"/>
      <c r="HD44" s="87"/>
      <c r="HE44" s="87"/>
      <c r="HF44" s="87"/>
      <c r="HG44" s="87"/>
      <c r="HH44" s="87"/>
      <c r="HI44" s="87"/>
      <c r="HJ44" s="87"/>
      <c r="HK44" s="87"/>
      <c r="HL44" s="87"/>
      <c r="HM44" s="87"/>
      <c r="HN44" s="87"/>
      <c r="HO44" s="87"/>
      <c r="HP44" s="87"/>
      <c r="HQ44" s="87"/>
      <c r="HR44" s="87"/>
      <c r="HS44" s="87"/>
      <c r="HT44" s="87"/>
      <c r="HU44" s="87"/>
      <c r="HV44" s="87"/>
      <c r="HW44" s="87"/>
      <c r="HX44" s="87"/>
      <c r="HY44" s="87"/>
      <c r="HZ44" s="87"/>
      <c r="IA44" s="87"/>
      <c r="IB44" s="87"/>
      <c r="IC44" s="87"/>
      <c r="ID44" s="87"/>
      <c r="IE44" s="87"/>
      <c r="IF44" s="87"/>
      <c r="IG44" s="87"/>
      <c r="IH44" s="87"/>
      <c r="II44" s="87"/>
      <c r="IJ44" s="87"/>
      <c r="IK44" s="87"/>
      <c r="IL44" s="87"/>
      <c r="IM44" s="87"/>
      <c r="IN44" s="87"/>
      <c r="IO44" s="87"/>
      <c r="IP44" s="87"/>
    </row>
    <row r="45" spans="1:250">
      <c r="A45" s="84" t="str">
        <f ca="1">Database!E42</f>
        <v>Not installed</v>
      </c>
      <c r="B45" s="85"/>
      <c r="C45" s="85"/>
      <c r="D45" s="88"/>
      <c r="E45" s="78"/>
      <c r="F45" s="78"/>
      <c r="G45" s="78"/>
      <c r="H45" s="78"/>
      <c r="I45" s="91" t="str">
        <f ca="1">Database!F42</f>
        <v>X</v>
      </c>
      <c r="J45" s="83"/>
      <c r="K45" s="79"/>
      <c r="L45" s="82"/>
      <c r="M45" s="83"/>
      <c r="N45" s="79"/>
      <c r="O45" s="80"/>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c r="BY45" s="87"/>
      <c r="BZ45" s="87"/>
      <c r="CA45" s="87"/>
      <c r="CB45" s="87"/>
      <c r="CC45" s="87"/>
      <c r="CD45" s="87"/>
      <c r="CE45" s="87"/>
      <c r="CF45" s="87"/>
      <c r="CG45" s="87"/>
      <c r="CH45" s="87"/>
      <c r="CI45" s="87"/>
      <c r="CJ45" s="87"/>
      <c r="CK45" s="87"/>
      <c r="CL45" s="87"/>
      <c r="CM45" s="87"/>
      <c r="CN45" s="87"/>
      <c r="CO45" s="87"/>
      <c r="CP45" s="87"/>
      <c r="CQ45" s="87"/>
      <c r="CR45" s="87"/>
      <c r="CS45" s="87"/>
      <c r="CT45" s="87"/>
      <c r="CU45" s="87"/>
      <c r="CV45" s="87"/>
      <c r="CW45" s="87"/>
      <c r="CX45" s="87"/>
      <c r="CY45" s="87"/>
      <c r="CZ45" s="87"/>
      <c r="DA45" s="87"/>
      <c r="DB45" s="87"/>
      <c r="DC45" s="87"/>
      <c r="DD45" s="87"/>
      <c r="DE45" s="87"/>
      <c r="DF45" s="87"/>
      <c r="DG45" s="87"/>
      <c r="DH45" s="87"/>
      <c r="DI45" s="87"/>
      <c r="DJ45" s="87"/>
      <c r="DK45" s="87"/>
      <c r="DL45" s="87"/>
      <c r="DM45" s="87"/>
      <c r="DN45" s="87"/>
      <c r="DO45" s="87"/>
      <c r="DP45" s="87"/>
      <c r="DQ45" s="87"/>
      <c r="DR45" s="87"/>
      <c r="DS45" s="87"/>
      <c r="DT45" s="87"/>
      <c r="DU45" s="87"/>
      <c r="DV45" s="87"/>
      <c r="DW45" s="87"/>
      <c r="DX45" s="87"/>
      <c r="DY45" s="87"/>
      <c r="DZ45" s="87"/>
      <c r="EA45" s="87"/>
      <c r="EB45" s="87"/>
      <c r="EC45" s="87"/>
      <c r="ED45" s="87"/>
      <c r="EE45" s="87"/>
      <c r="EF45" s="87"/>
      <c r="EG45" s="87"/>
      <c r="EH45" s="87"/>
      <c r="EI45" s="87"/>
      <c r="EJ45" s="87"/>
      <c r="EK45" s="87"/>
      <c r="EL45" s="87"/>
      <c r="EM45" s="87"/>
      <c r="EN45" s="87"/>
      <c r="EO45" s="87"/>
      <c r="EP45" s="87"/>
      <c r="EQ45" s="87"/>
      <c r="ER45" s="87"/>
      <c r="ES45" s="87"/>
      <c r="ET45" s="87"/>
      <c r="EU45" s="87"/>
      <c r="EV45" s="87"/>
      <c r="EW45" s="87"/>
      <c r="EX45" s="87"/>
      <c r="EY45" s="87"/>
      <c r="EZ45" s="87"/>
      <c r="FA45" s="87"/>
      <c r="FB45" s="87"/>
      <c r="FC45" s="87"/>
      <c r="FD45" s="87"/>
      <c r="FE45" s="87"/>
      <c r="FF45" s="87"/>
      <c r="FG45" s="87"/>
      <c r="FH45" s="87"/>
      <c r="FI45" s="87"/>
      <c r="FJ45" s="87"/>
      <c r="FK45" s="87"/>
      <c r="FL45" s="87"/>
      <c r="FM45" s="87"/>
      <c r="FN45" s="87"/>
      <c r="FO45" s="87"/>
      <c r="FP45" s="87"/>
      <c r="FQ45" s="87"/>
      <c r="FR45" s="87"/>
      <c r="FS45" s="87"/>
      <c r="FT45" s="87"/>
      <c r="FU45" s="87"/>
      <c r="FV45" s="87"/>
      <c r="FW45" s="87"/>
      <c r="FX45" s="87"/>
      <c r="FY45" s="87"/>
      <c r="FZ45" s="87"/>
      <c r="GA45" s="87"/>
      <c r="GB45" s="87"/>
      <c r="GC45" s="87"/>
      <c r="GD45" s="87"/>
      <c r="GE45" s="87"/>
      <c r="GF45" s="87"/>
      <c r="GG45" s="87"/>
      <c r="GH45" s="87"/>
      <c r="GI45" s="87"/>
      <c r="GJ45" s="87"/>
      <c r="GK45" s="87"/>
      <c r="GL45" s="87"/>
      <c r="GM45" s="87"/>
      <c r="GN45" s="87"/>
      <c r="GO45" s="87"/>
      <c r="GP45" s="87"/>
      <c r="GQ45" s="87"/>
      <c r="GR45" s="87"/>
      <c r="GS45" s="87"/>
      <c r="GT45" s="87"/>
      <c r="GU45" s="87"/>
      <c r="GV45" s="87"/>
      <c r="GW45" s="87"/>
      <c r="GX45" s="87"/>
      <c r="GY45" s="87"/>
      <c r="GZ45" s="87"/>
      <c r="HA45" s="87"/>
      <c r="HB45" s="87"/>
      <c r="HC45" s="87"/>
      <c r="HD45" s="87"/>
      <c r="HE45" s="87"/>
      <c r="HF45" s="87"/>
      <c r="HG45" s="87"/>
      <c r="HH45" s="87"/>
      <c r="HI45" s="87"/>
      <c r="HJ45" s="87"/>
      <c r="HK45" s="87"/>
      <c r="HL45" s="87"/>
      <c r="HM45" s="87"/>
      <c r="HN45" s="87"/>
      <c r="HO45" s="87"/>
      <c r="HP45" s="87"/>
      <c r="HQ45" s="87"/>
      <c r="HR45" s="87"/>
      <c r="HS45" s="87"/>
      <c r="HT45" s="87"/>
      <c r="HU45" s="87"/>
      <c r="HV45" s="87"/>
      <c r="HW45" s="87"/>
      <c r="HX45" s="87"/>
      <c r="HY45" s="87"/>
      <c r="HZ45" s="87"/>
      <c r="IA45" s="87"/>
      <c r="IB45" s="87"/>
      <c r="IC45" s="87"/>
      <c r="ID45" s="87"/>
      <c r="IE45" s="87"/>
      <c r="IF45" s="87"/>
      <c r="IG45" s="87"/>
      <c r="IH45" s="87"/>
      <c r="II45" s="87"/>
      <c r="IJ45" s="87"/>
      <c r="IK45" s="87"/>
      <c r="IL45" s="87"/>
      <c r="IM45" s="87"/>
      <c r="IN45" s="87"/>
      <c r="IO45" s="87"/>
      <c r="IP45" s="87"/>
    </row>
    <row r="46" spans="1:250">
      <c r="A46" s="84" t="str">
        <f ca="1">Database!E43</f>
        <v>Four 1 Gbps RJ45 SFP Transceivers 10/100BASE-TX/1000BASE-T Ethernet ports (Not CE marked) (Withdraw)</v>
      </c>
      <c r="B46" s="85"/>
      <c r="C46" s="85"/>
      <c r="D46" s="88"/>
      <c r="E46" s="78"/>
      <c r="F46" s="78"/>
      <c r="G46" s="78"/>
      <c r="H46" s="78"/>
      <c r="I46" s="91" t="str">
        <f ca="1">Database!F43</f>
        <v>J</v>
      </c>
      <c r="J46" s="83"/>
      <c r="K46" s="79"/>
      <c r="L46" s="82"/>
      <c r="M46" s="83"/>
      <c r="N46" s="79"/>
      <c r="O46" s="80"/>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c r="BY46" s="87"/>
      <c r="BZ46" s="87"/>
      <c r="CA46" s="87"/>
      <c r="CB46" s="87"/>
      <c r="CC46" s="87"/>
      <c r="CD46" s="87"/>
      <c r="CE46" s="87"/>
      <c r="CF46" s="87"/>
      <c r="CG46" s="87"/>
      <c r="CH46" s="87"/>
      <c r="CI46" s="87"/>
      <c r="CJ46" s="87"/>
      <c r="CK46" s="87"/>
      <c r="CL46" s="87"/>
      <c r="CM46" s="87"/>
      <c r="CN46" s="87"/>
      <c r="CO46" s="87"/>
      <c r="CP46" s="87"/>
      <c r="CQ46" s="87"/>
      <c r="CR46" s="87"/>
      <c r="CS46" s="87"/>
      <c r="CT46" s="87"/>
      <c r="CU46" s="87"/>
      <c r="CV46" s="87"/>
      <c r="CW46" s="87"/>
      <c r="CX46" s="87"/>
      <c r="CY46" s="87"/>
      <c r="CZ46" s="87"/>
      <c r="DA46" s="87"/>
      <c r="DB46" s="87"/>
      <c r="DC46" s="87"/>
      <c r="DD46" s="87"/>
      <c r="DE46" s="87"/>
      <c r="DF46" s="87"/>
      <c r="DG46" s="87"/>
      <c r="DH46" s="87"/>
      <c r="DI46" s="87"/>
      <c r="DJ46" s="87"/>
      <c r="DK46" s="87"/>
      <c r="DL46" s="87"/>
      <c r="DM46" s="87"/>
      <c r="DN46" s="87"/>
      <c r="DO46" s="87"/>
      <c r="DP46" s="87"/>
      <c r="DQ46" s="87"/>
      <c r="DR46" s="87"/>
      <c r="DS46" s="87"/>
      <c r="DT46" s="87"/>
      <c r="DU46" s="87"/>
      <c r="DV46" s="87"/>
      <c r="DW46" s="87"/>
      <c r="DX46" s="87"/>
      <c r="DY46" s="87"/>
      <c r="DZ46" s="87"/>
      <c r="EA46" s="87"/>
      <c r="EB46" s="87"/>
      <c r="EC46" s="87"/>
      <c r="ED46" s="87"/>
      <c r="EE46" s="87"/>
      <c r="EF46" s="87"/>
      <c r="EG46" s="87"/>
      <c r="EH46" s="87"/>
      <c r="EI46" s="87"/>
      <c r="EJ46" s="87"/>
      <c r="EK46" s="87"/>
      <c r="EL46" s="87"/>
      <c r="EM46" s="87"/>
      <c r="EN46" s="87"/>
      <c r="EO46" s="87"/>
      <c r="EP46" s="87"/>
      <c r="EQ46" s="87"/>
      <c r="ER46" s="87"/>
      <c r="ES46" s="87"/>
      <c r="ET46" s="87"/>
      <c r="EU46" s="87"/>
      <c r="EV46" s="87"/>
      <c r="EW46" s="87"/>
      <c r="EX46" s="87"/>
      <c r="EY46" s="87"/>
      <c r="EZ46" s="87"/>
      <c r="FA46" s="87"/>
      <c r="FB46" s="87"/>
      <c r="FC46" s="87"/>
      <c r="FD46" s="87"/>
      <c r="FE46" s="87"/>
      <c r="FF46" s="87"/>
      <c r="FG46" s="87"/>
      <c r="FH46" s="87"/>
      <c r="FI46" s="87"/>
      <c r="FJ46" s="87"/>
      <c r="FK46" s="87"/>
      <c r="FL46" s="87"/>
      <c r="FM46" s="87"/>
      <c r="FN46" s="87"/>
      <c r="FO46" s="87"/>
      <c r="FP46" s="87"/>
      <c r="FQ46" s="87"/>
      <c r="FR46" s="87"/>
      <c r="FS46" s="87"/>
      <c r="FT46" s="87"/>
      <c r="FU46" s="87"/>
      <c r="FV46" s="87"/>
      <c r="FW46" s="87"/>
      <c r="FX46" s="87"/>
      <c r="FY46" s="87"/>
      <c r="FZ46" s="87"/>
      <c r="GA46" s="87"/>
      <c r="GB46" s="87"/>
      <c r="GC46" s="87"/>
      <c r="GD46" s="87"/>
      <c r="GE46" s="87"/>
      <c r="GF46" s="87"/>
      <c r="GG46" s="87"/>
      <c r="GH46" s="87"/>
      <c r="GI46" s="87"/>
      <c r="GJ46" s="87"/>
      <c r="GK46" s="87"/>
      <c r="GL46" s="87"/>
      <c r="GM46" s="87"/>
      <c r="GN46" s="87"/>
      <c r="GO46" s="87"/>
      <c r="GP46" s="87"/>
      <c r="GQ46" s="87"/>
      <c r="GR46" s="87"/>
      <c r="GS46" s="87"/>
      <c r="GT46" s="87"/>
      <c r="GU46" s="87"/>
      <c r="GV46" s="87"/>
      <c r="GW46" s="87"/>
      <c r="GX46" s="87"/>
      <c r="GY46" s="87"/>
      <c r="GZ46" s="87"/>
      <c r="HA46" s="87"/>
      <c r="HB46" s="87"/>
      <c r="HC46" s="87"/>
      <c r="HD46" s="87"/>
      <c r="HE46" s="87"/>
      <c r="HF46" s="87"/>
      <c r="HG46" s="87"/>
      <c r="HH46" s="87"/>
      <c r="HI46" s="87"/>
      <c r="HJ46" s="87"/>
      <c r="HK46" s="87"/>
      <c r="HL46" s="87"/>
      <c r="HM46" s="87"/>
      <c r="HN46" s="87"/>
      <c r="HO46" s="87"/>
      <c r="HP46" s="87"/>
      <c r="HQ46" s="87"/>
      <c r="HR46" s="87"/>
      <c r="HS46" s="87"/>
      <c r="HT46" s="87"/>
      <c r="HU46" s="87"/>
      <c r="HV46" s="87"/>
      <c r="HW46" s="87"/>
      <c r="HX46" s="87"/>
      <c r="HY46" s="87"/>
      <c r="HZ46" s="87"/>
      <c r="IA46" s="87"/>
      <c r="IB46" s="87"/>
      <c r="IC46" s="87"/>
      <c r="ID46" s="87"/>
      <c r="IE46" s="87"/>
      <c r="IF46" s="87"/>
      <c r="IG46" s="87"/>
      <c r="IH46" s="87"/>
      <c r="II46" s="87"/>
      <c r="IJ46" s="87"/>
      <c r="IK46" s="87"/>
      <c r="IL46" s="87"/>
      <c r="IM46" s="87"/>
      <c r="IN46" s="87"/>
      <c r="IO46" s="87"/>
      <c r="IP46" s="87"/>
    </row>
    <row r="47" spans="1:250">
      <c r="A47" s="84"/>
      <c r="B47" s="85"/>
      <c r="C47" s="85"/>
      <c r="D47" s="88"/>
      <c r="E47" s="78"/>
      <c r="F47" s="78"/>
      <c r="G47" s="78"/>
      <c r="H47" s="78"/>
      <c r="I47" s="78"/>
      <c r="J47" s="83"/>
      <c r="K47" s="79"/>
      <c r="L47" s="82"/>
      <c r="M47" s="83"/>
      <c r="N47" s="79"/>
      <c r="O47" s="80"/>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7"/>
      <c r="BR47" s="87"/>
      <c r="BS47" s="87"/>
      <c r="BT47" s="87"/>
      <c r="BU47" s="87"/>
      <c r="BV47" s="87"/>
      <c r="BW47" s="87"/>
      <c r="BX47" s="87"/>
      <c r="BY47" s="87"/>
      <c r="BZ47" s="87"/>
      <c r="CA47" s="87"/>
      <c r="CB47" s="87"/>
      <c r="CC47" s="87"/>
      <c r="CD47" s="87"/>
      <c r="CE47" s="87"/>
      <c r="CF47" s="87"/>
      <c r="CG47" s="87"/>
      <c r="CH47" s="87"/>
      <c r="CI47" s="87"/>
      <c r="CJ47" s="87"/>
      <c r="CK47" s="87"/>
      <c r="CL47" s="87"/>
      <c r="CM47" s="87"/>
      <c r="CN47" s="87"/>
      <c r="CO47" s="87"/>
      <c r="CP47" s="87"/>
      <c r="CQ47" s="87"/>
      <c r="CR47" s="87"/>
      <c r="CS47" s="87"/>
      <c r="CT47" s="87"/>
      <c r="CU47" s="87"/>
      <c r="CV47" s="87"/>
      <c r="CW47" s="87"/>
      <c r="CX47" s="87"/>
      <c r="CY47" s="87"/>
      <c r="CZ47" s="87"/>
      <c r="DA47" s="87"/>
      <c r="DB47" s="87"/>
      <c r="DC47" s="87"/>
      <c r="DD47" s="87"/>
      <c r="DE47" s="87"/>
      <c r="DF47" s="87"/>
      <c r="DG47" s="87"/>
      <c r="DH47" s="87"/>
      <c r="DI47" s="87"/>
      <c r="DJ47" s="87"/>
      <c r="DK47" s="87"/>
      <c r="DL47" s="87"/>
      <c r="DM47" s="87"/>
      <c r="DN47" s="87"/>
      <c r="DO47" s="87"/>
      <c r="DP47" s="87"/>
      <c r="DQ47" s="87"/>
      <c r="DR47" s="87"/>
      <c r="DS47" s="87"/>
      <c r="DT47" s="87"/>
      <c r="DU47" s="87"/>
      <c r="DV47" s="87"/>
      <c r="DW47" s="87"/>
      <c r="DX47" s="87"/>
      <c r="DY47" s="87"/>
      <c r="DZ47" s="87"/>
      <c r="EA47" s="87"/>
      <c r="EB47" s="87"/>
      <c r="EC47" s="87"/>
      <c r="ED47" s="87"/>
      <c r="EE47" s="87"/>
      <c r="EF47" s="87"/>
      <c r="EG47" s="87"/>
      <c r="EH47" s="87"/>
      <c r="EI47" s="87"/>
      <c r="EJ47" s="87"/>
      <c r="EK47" s="87"/>
      <c r="EL47" s="87"/>
      <c r="EM47" s="87"/>
      <c r="EN47" s="87"/>
      <c r="EO47" s="87"/>
      <c r="EP47" s="87"/>
      <c r="EQ47" s="87"/>
      <c r="ER47" s="87"/>
      <c r="ES47" s="87"/>
      <c r="ET47" s="87"/>
      <c r="EU47" s="87"/>
      <c r="EV47" s="87"/>
      <c r="EW47" s="87"/>
      <c r="EX47" s="87"/>
      <c r="EY47" s="87"/>
      <c r="EZ47" s="87"/>
      <c r="FA47" s="87"/>
      <c r="FB47" s="87"/>
      <c r="FC47" s="87"/>
      <c r="FD47" s="87"/>
      <c r="FE47" s="87"/>
      <c r="FF47" s="87"/>
      <c r="FG47" s="87"/>
      <c r="FH47" s="87"/>
      <c r="FI47" s="87"/>
      <c r="FJ47" s="87"/>
      <c r="FK47" s="87"/>
      <c r="FL47" s="87"/>
      <c r="FM47" s="87"/>
      <c r="FN47" s="87"/>
      <c r="FO47" s="87"/>
      <c r="FP47" s="87"/>
      <c r="FQ47" s="87"/>
      <c r="FR47" s="87"/>
      <c r="FS47" s="87"/>
      <c r="FT47" s="87"/>
      <c r="FU47" s="87"/>
      <c r="FV47" s="87"/>
      <c r="FW47" s="87"/>
      <c r="FX47" s="87"/>
      <c r="FY47" s="87"/>
      <c r="FZ47" s="87"/>
      <c r="GA47" s="87"/>
      <c r="GB47" s="87"/>
      <c r="GC47" s="87"/>
      <c r="GD47" s="87"/>
      <c r="GE47" s="87"/>
      <c r="GF47" s="87"/>
      <c r="GG47" s="87"/>
      <c r="GH47" s="87"/>
      <c r="GI47" s="87"/>
      <c r="GJ47" s="87"/>
      <c r="GK47" s="87"/>
      <c r="GL47" s="87"/>
      <c r="GM47" s="87"/>
      <c r="GN47" s="87"/>
      <c r="GO47" s="87"/>
      <c r="GP47" s="87"/>
      <c r="GQ47" s="87"/>
      <c r="GR47" s="87"/>
      <c r="GS47" s="87"/>
      <c r="GT47" s="87"/>
      <c r="GU47" s="87"/>
      <c r="GV47" s="87"/>
      <c r="GW47" s="87"/>
      <c r="GX47" s="87"/>
      <c r="GY47" s="87"/>
      <c r="GZ47" s="87"/>
      <c r="HA47" s="87"/>
      <c r="HB47" s="87"/>
      <c r="HC47" s="87"/>
      <c r="HD47" s="87"/>
      <c r="HE47" s="87"/>
      <c r="HF47" s="87"/>
      <c r="HG47" s="87"/>
      <c r="HH47" s="87"/>
      <c r="HI47" s="87"/>
      <c r="HJ47" s="87"/>
      <c r="HK47" s="87"/>
      <c r="HL47" s="87"/>
      <c r="HM47" s="87"/>
      <c r="HN47" s="87"/>
      <c r="HO47" s="87"/>
      <c r="HP47" s="87"/>
      <c r="HQ47" s="87"/>
      <c r="HR47" s="87"/>
      <c r="HS47" s="87"/>
      <c r="HT47" s="87"/>
      <c r="HU47" s="87"/>
      <c r="HV47" s="87"/>
      <c r="HW47" s="87"/>
      <c r="HX47" s="87"/>
      <c r="HY47" s="87"/>
      <c r="HZ47" s="87"/>
      <c r="IA47" s="87"/>
      <c r="IB47" s="87"/>
      <c r="IC47" s="87"/>
      <c r="ID47" s="87"/>
      <c r="IE47" s="87"/>
      <c r="IF47" s="87"/>
      <c r="IG47" s="87"/>
      <c r="IH47" s="87"/>
      <c r="II47" s="87"/>
      <c r="IJ47" s="87"/>
      <c r="IK47" s="87"/>
      <c r="IL47" s="87"/>
      <c r="IM47" s="87"/>
      <c r="IN47" s="87"/>
      <c r="IO47" s="87"/>
      <c r="IP47" s="87"/>
    </row>
    <row r="48" spans="1:250">
      <c r="A48" s="89" t="str">
        <f>Database!B45</f>
        <v>Interface Module 3</v>
      </c>
      <c r="B48" s="71"/>
      <c r="C48" s="71"/>
      <c r="D48" s="90"/>
      <c r="E48" s="77"/>
      <c r="F48" s="77"/>
      <c r="G48" s="77"/>
      <c r="H48" s="77"/>
      <c r="I48" s="77"/>
      <c r="J48" s="83"/>
      <c r="K48" s="79"/>
      <c r="L48" s="82"/>
      <c r="M48" s="83"/>
      <c r="N48" s="79"/>
      <c r="O48" s="80"/>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7"/>
      <c r="BR48" s="87"/>
      <c r="BS48" s="87"/>
      <c r="BT48" s="87"/>
      <c r="BU48" s="87"/>
      <c r="BV48" s="87"/>
      <c r="BW48" s="87"/>
      <c r="BX48" s="87"/>
      <c r="BY48" s="87"/>
      <c r="BZ48" s="87"/>
      <c r="CA48" s="87"/>
      <c r="CB48" s="87"/>
      <c r="CC48" s="87"/>
      <c r="CD48" s="87"/>
      <c r="CE48" s="87"/>
      <c r="CF48" s="87"/>
      <c r="CG48" s="87"/>
      <c r="CH48" s="87"/>
      <c r="CI48" s="87"/>
      <c r="CJ48" s="87"/>
      <c r="CK48" s="87"/>
      <c r="CL48" s="87"/>
      <c r="CM48" s="87"/>
      <c r="CN48" s="87"/>
      <c r="CO48" s="87"/>
      <c r="CP48" s="87"/>
      <c r="CQ48" s="87"/>
      <c r="CR48" s="87"/>
      <c r="CS48" s="87"/>
      <c r="CT48" s="87"/>
      <c r="CU48" s="87"/>
      <c r="CV48" s="87"/>
      <c r="CW48" s="87"/>
      <c r="CX48" s="87"/>
      <c r="CY48" s="87"/>
      <c r="CZ48" s="87"/>
      <c r="DA48" s="87"/>
      <c r="DB48" s="87"/>
      <c r="DC48" s="87"/>
      <c r="DD48" s="87"/>
      <c r="DE48" s="87"/>
      <c r="DF48" s="87"/>
      <c r="DG48" s="87"/>
      <c r="DH48" s="87"/>
      <c r="DI48" s="87"/>
      <c r="DJ48" s="87"/>
      <c r="DK48" s="87"/>
      <c r="DL48" s="87"/>
      <c r="DM48" s="87"/>
      <c r="DN48" s="87"/>
      <c r="DO48" s="87"/>
      <c r="DP48" s="87"/>
      <c r="DQ48" s="87"/>
      <c r="DR48" s="87"/>
      <c r="DS48" s="87"/>
      <c r="DT48" s="87"/>
      <c r="DU48" s="87"/>
      <c r="DV48" s="87"/>
      <c r="DW48" s="87"/>
      <c r="DX48" s="87"/>
      <c r="DY48" s="87"/>
      <c r="DZ48" s="87"/>
      <c r="EA48" s="87"/>
      <c r="EB48" s="87"/>
      <c r="EC48" s="87"/>
      <c r="ED48" s="87"/>
      <c r="EE48" s="87"/>
      <c r="EF48" s="87"/>
      <c r="EG48" s="87"/>
      <c r="EH48" s="87"/>
      <c r="EI48" s="87"/>
      <c r="EJ48" s="87"/>
      <c r="EK48" s="87"/>
      <c r="EL48" s="87"/>
      <c r="EM48" s="87"/>
      <c r="EN48" s="87"/>
      <c r="EO48" s="87"/>
      <c r="EP48" s="87"/>
      <c r="EQ48" s="87"/>
      <c r="ER48" s="87"/>
      <c r="ES48" s="87"/>
      <c r="ET48" s="87"/>
      <c r="EU48" s="87"/>
      <c r="EV48" s="87"/>
      <c r="EW48" s="87"/>
      <c r="EX48" s="87"/>
      <c r="EY48" s="87"/>
      <c r="EZ48" s="87"/>
      <c r="FA48" s="87"/>
      <c r="FB48" s="87"/>
      <c r="FC48" s="87"/>
      <c r="FD48" s="87"/>
      <c r="FE48" s="87"/>
      <c r="FF48" s="87"/>
      <c r="FG48" s="87"/>
      <c r="FH48" s="87"/>
      <c r="FI48" s="87"/>
      <c r="FJ48" s="87"/>
      <c r="FK48" s="87"/>
      <c r="FL48" s="87"/>
      <c r="FM48" s="87"/>
      <c r="FN48" s="87"/>
      <c r="FO48" s="87"/>
      <c r="FP48" s="87"/>
      <c r="FQ48" s="87"/>
      <c r="FR48" s="87"/>
      <c r="FS48" s="87"/>
      <c r="FT48" s="87"/>
      <c r="FU48" s="87"/>
      <c r="FV48" s="87"/>
      <c r="FW48" s="87"/>
      <c r="FX48" s="87"/>
      <c r="FY48" s="87"/>
      <c r="FZ48" s="87"/>
      <c r="GA48" s="87"/>
      <c r="GB48" s="87"/>
      <c r="GC48" s="87"/>
      <c r="GD48" s="87"/>
      <c r="GE48" s="87"/>
      <c r="GF48" s="87"/>
      <c r="GG48" s="87"/>
      <c r="GH48" s="87"/>
      <c r="GI48" s="87"/>
      <c r="GJ48" s="87"/>
      <c r="GK48" s="87"/>
      <c r="GL48" s="87"/>
      <c r="GM48" s="87"/>
      <c r="GN48" s="87"/>
      <c r="GO48" s="87"/>
      <c r="GP48" s="87"/>
      <c r="GQ48" s="87"/>
      <c r="GR48" s="87"/>
      <c r="GS48" s="87"/>
      <c r="GT48" s="87"/>
      <c r="GU48" s="87"/>
      <c r="GV48" s="87"/>
      <c r="GW48" s="87"/>
      <c r="GX48" s="87"/>
      <c r="GY48" s="87"/>
      <c r="GZ48" s="87"/>
      <c r="HA48" s="87"/>
      <c r="HB48" s="87"/>
      <c r="HC48" s="87"/>
      <c r="HD48" s="87"/>
      <c r="HE48" s="87"/>
      <c r="HF48" s="87"/>
      <c r="HG48" s="87"/>
      <c r="HH48" s="87"/>
      <c r="HI48" s="87"/>
      <c r="HJ48" s="87"/>
      <c r="HK48" s="87"/>
      <c r="HL48" s="87"/>
      <c r="HM48" s="87"/>
      <c r="HN48" s="87"/>
      <c r="HO48" s="87"/>
      <c r="HP48" s="87"/>
      <c r="HQ48" s="87"/>
      <c r="HR48" s="87"/>
      <c r="HS48" s="87"/>
      <c r="HT48" s="87"/>
      <c r="HU48" s="87"/>
      <c r="HV48" s="87"/>
      <c r="HW48" s="87"/>
      <c r="HX48" s="87"/>
      <c r="HY48" s="87"/>
      <c r="HZ48" s="87"/>
      <c r="IA48" s="87"/>
      <c r="IB48" s="87"/>
      <c r="IC48" s="87"/>
      <c r="ID48" s="87"/>
      <c r="IE48" s="87"/>
      <c r="IF48" s="87"/>
      <c r="IG48" s="87"/>
      <c r="IH48" s="87"/>
      <c r="II48" s="87"/>
      <c r="IJ48" s="87"/>
      <c r="IK48" s="87"/>
      <c r="IL48" s="87"/>
      <c r="IM48" s="87"/>
      <c r="IN48" s="87"/>
      <c r="IO48" s="87"/>
      <c r="IP48" s="87"/>
    </row>
    <row r="49" spans="1:250">
      <c r="A49" s="84" t="str">
        <f ca="1">Database!E46</f>
        <v>Four 1 Gbps RJ45 copper 10/100BASE-TX/1000BASE-T Ethernet ports</v>
      </c>
      <c r="B49" s="85"/>
      <c r="C49" s="85"/>
      <c r="D49" s="88"/>
      <c r="E49" s="78"/>
      <c r="F49" s="78"/>
      <c r="G49" s="78"/>
      <c r="H49" s="78"/>
      <c r="I49" s="78"/>
      <c r="J49" s="91" t="str">
        <f ca="1">Database!F46</f>
        <v>A</v>
      </c>
      <c r="K49" s="79"/>
      <c r="L49" s="82"/>
      <c r="M49" s="83"/>
      <c r="N49" s="79"/>
      <c r="O49" s="80"/>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7"/>
      <c r="BR49" s="87"/>
      <c r="BS49" s="87"/>
      <c r="BT49" s="87"/>
      <c r="BU49" s="87"/>
      <c r="BV49" s="87"/>
      <c r="BW49" s="87"/>
      <c r="BX49" s="87"/>
      <c r="BY49" s="87"/>
      <c r="BZ49" s="87"/>
      <c r="CA49" s="87"/>
      <c r="CB49" s="87"/>
      <c r="CC49" s="87"/>
      <c r="CD49" s="87"/>
      <c r="CE49" s="87"/>
      <c r="CF49" s="87"/>
      <c r="CG49" s="87"/>
      <c r="CH49" s="87"/>
      <c r="CI49" s="87"/>
      <c r="CJ49" s="87"/>
      <c r="CK49" s="87"/>
      <c r="CL49" s="87"/>
      <c r="CM49" s="87"/>
      <c r="CN49" s="87"/>
      <c r="CO49" s="87"/>
      <c r="CP49" s="87"/>
      <c r="CQ49" s="87"/>
      <c r="CR49" s="87"/>
      <c r="CS49" s="87"/>
      <c r="CT49" s="87"/>
      <c r="CU49" s="87"/>
      <c r="CV49" s="87"/>
      <c r="CW49" s="87"/>
      <c r="CX49" s="87"/>
      <c r="CY49" s="87"/>
      <c r="CZ49" s="87"/>
      <c r="DA49" s="87"/>
      <c r="DB49" s="87"/>
      <c r="DC49" s="87"/>
      <c r="DD49" s="87"/>
      <c r="DE49" s="87"/>
      <c r="DF49" s="87"/>
      <c r="DG49" s="87"/>
      <c r="DH49" s="87"/>
      <c r="DI49" s="87"/>
      <c r="DJ49" s="87"/>
      <c r="DK49" s="87"/>
      <c r="DL49" s="87"/>
      <c r="DM49" s="87"/>
      <c r="DN49" s="87"/>
      <c r="DO49" s="87"/>
      <c r="DP49" s="87"/>
      <c r="DQ49" s="87"/>
      <c r="DR49" s="87"/>
      <c r="DS49" s="87"/>
      <c r="DT49" s="87"/>
      <c r="DU49" s="87"/>
      <c r="DV49" s="87"/>
      <c r="DW49" s="87"/>
      <c r="DX49" s="87"/>
      <c r="DY49" s="87"/>
      <c r="DZ49" s="87"/>
      <c r="EA49" s="87"/>
      <c r="EB49" s="87"/>
      <c r="EC49" s="87"/>
      <c r="ED49" s="87"/>
      <c r="EE49" s="87"/>
      <c r="EF49" s="87"/>
      <c r="EG49" s="87"/>
      <c r="EH49" s="87"/>
      <c r="EI49" s="87"/>
      <c r="EJ49" s="87"/>
      <c r="EK49" s="87"/>
      <c r="EL49" s="87"/>
      <c r="EM49" s="87"/>
      <c r="EN49" s="87"/>
      <c r="EO49" s="87"/>
      <c r="EP49" s="87"/>
      <c r="EQ49" s="87"/>
      <c r="ER49" s="87"/>
      <c r="ES49" s="87"/>
      <c r="ET49" s="87"/>
      <c r="EU49" s="87"/>
      <c r="EV49" s="87"/>
      <c r="EW49" s="87"/>
      <c r="EX49" s="87"/>
      <c r="EY49" s="87"/>
      <c r="EZ49" s="87"/>
      <c r="FA49" s="87"/>
      <c r="FB49" s="87"/>
      <c r="FC49" s="87"/>
      <c r="FD49" s="87"/>
      <c r="FE49" s="87"/>
      <c r="FF49" s="87"/>
      <c r="FG49" s="87"/>
      <c r="FH49" s="87"/>
      <c r="FI49" s="87"/>
      <c r="FJ49" s="87"/>
      <c r="FK49" s="87"/>
      <c r="FL49" s="87"/>
      <c r="FM49" s="87"/>
      <c r="FN49" s="87"/>
      <c r="FO49" s="87"/>
      <c r="FP49" s="87"/>
      <c r="FQ49" s="87"/>
      <c r="FR49" s="87"/>
      <c r="FS49" s="87"/>
      <c r="FT49" s="87"/>
      <c r="FU49" s="87"/>
      <c r="FV49" s="87"/>
      <c r="FW49" s="87"/>
      <c r="FX49" s="87"/>
      <c r="FY49" s="87"/>
      <c r="FZ49" s="87"/>
      <c r="GA49" s="87"/>
      <c r="GB49" s="87"/>
      <c r="GC49" s="87"/>
      <c r="GD49" s="87"/>
      <c r="GE49" s="87"/>
      <c r="GF49" s="87"/>
      <c r="GG49" s="87"/>
      <c r="GH49" s="87"/>
      <c r="GI49" s="87"/>
      <c r="GJ49" s="87"/>
      <c r="GK49" s="87"/>
      <c r="GL49" s="87"/>
      <c r="GM49" s="87"/>
      <c r="GN49" s="87"/>
      <c r="GO49" s="87"/>
      <c r="GP49" s="87"/>
      <c r="GQ49" s="87"/>
      <c r="GR49" s="87"/>
      <c r="GS49" s="87"/>
      <c r="GT49" s="87"/>
      <c r="GU49" s="87"/>
      <c r="GV49" s="87"/>
      <c r="GW49" s="87"/>
      <c r="GX49" s="87"/>
      <c r="GY49" s="87"/>
      <c r="GZ49" s="87"/>
      <c r="HA49" s="87"/>
      <c r="HB49" s="87"/>
      <c r="HC49" s="87"/>
      <c r="HD49" s="87"/>
      <c r="HE49" s="87"/>
      <c r="HF49" s="87"/>
      <c r="HG49" s="87"/>
      <c r="HH49" s="87"/>
      <c r="HI49" s="87"/>
      <c r="HJ49" s="87"/>
      <c r="HK49" s="87"/>
      <c r="HL49" s="87"/>
      <c r="HM49" s="87"/>
      <c r="HN49" s="87"/>
      <c r="HO49" s="87"/>
      <c r="HP49" s="87"/>
      <c r="HQ49" s="87"/>
      <c r="HR49" s="87"/>
      <c r="HS49" s="87"/>
      <c r="HT49" s="87"/>
      <c r="HU49" s="87"/>
      <c r="HV49" s="87"/>
      <c r="HW49" s="87"/>
      <c r="HX49" s="87"/>
      <c r="HY49" s="87"/>
      <c r="HZ49" s="87"/>
      <c r="IA49" s="87"/>
      <c r="IB49" s="87"/>
      <c r="IC49" s="87"/>
      <c r="ID49" s="87"/>
      <c r="IE49" s="87"/>
      <c r="IF49" s="87"/>
      <c r="IG49" s="87"/>
      <c r="IH49" s="87"/>
      <c r="II49" s="87"/>
      <c r="IJ49" s="87"/>
      <c r="IK49" s="87"/>
      <c r="IL49" s="87"/>
      <c r="IM49" s="87"/>
      <c r="IN49" s="87"/>
      <c r="IO49" s="87"/>
      <c r="IP49" s="87"/>
    </row>
    <row r="50" spans="1:250">
      <c r="A50" s="84" t="str">
        <f ca="1">Database!E47</f>
        <v>Four slots for SFP transceivers</v>
      </c>
      <c r="B50" s="85"/>
      <c r="C50" s="85"/>
      <c r="D50" s="88"/>
      <c r="E50" s="78"/>
      <c r="F50" s="78"/>
      <c r="G50" s="78"/>
      <c r="H50" s="78"/>
      <c r="I50" s="78"/>
      <c r="J50" s="91" t="str">
        <f ca="1">Database!F47</f>
        <v>B</v>
      </c>
      <c r="K50" s="79"/>
      <c r="L50" s="82"/>
      <c r="M50" s="83"/>
      <c r="N50" s="79"/>
      <c r="O50" s="80"/>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7"/>
      <c r="BR50" s="87"/>
      <c r="BS50" s="87"/>
      <c r="BT50" s="87"/>
      <c r="BU50" s="87"/>
      <c r="BV50" s="87"/>
      <c r="BW50" s="87"/>
      <c r="BX50" s="87"/>
      <c r="BY50" s="87"/>
      <c r="BZ50" s="87"/>
      <c r="CA50" s="87"/>
      <c r="CB50" s="87"/>
      <c r="CC50" s="87"/>
      <c r="CD50" s="87"/>
      <c r="CE50" s="87"/>
      <c r="CF50" s="87"/>
      <c r="CG50" s="87"/>
      <c r="CH50" s="87"/>
      <c r="CI50" s="87"/>
      <c r="CJ50" s="87"/>
      <c r="CK50" s="87"/>
      <c r="CL50" s="87"/>
      <c r="CM50" s="87"/>
      <c r="CN50" s="87"/>
      <c r="CO50" s="87"/>
      <c r="CP50" s="87"/>
      <c r="CQ50" s="87"/>
      <c r="CR50" s="87"/>
      <c r="CS50" s="87"/>
      <c r="CT50" s="87"/>
      <c r="CU50" s="87"/>
      <c r="CV50" s="87"/>
      <c r="CW50" s="87"/>
      <c r="CX50" s="87"/>
      <c r="CY50" s="87"/>
      <c r="CZ50" s="87"/>
      <c r="DA50" s="87"/>
      <c r="DB50" s="87"/>
      <c r="DC50" s="87"/>
      <c r="DD50" s="87"/>
      <c r="DE50" s="87"/>
      <c r="DF50" s="87"/>
      <c r="DG50" s="87"/>
      <c r="DH50" s="87"/>
      <c r="DI50" s="87"/>
      <c r="DJ50" s="87"/>
      <c r="DK50" s="87"/>
      <c r="DL50" s="87"/>
      <c r="DM50" s="87"/>
      <c r="DN50" s="87"/>
      <c r="DO50" s="87"/>
      <c r="DP50" s="87"/>
      <c r="DQ50" s="87"/>
      <c r="DR50" s="87"/>
      <c r="DS50" s="87"/>
      <c r="DT50" s="87"/>
      <c r="DU50" s="87"/>
      <c r="DV50" s="87"/>
      <c r="DW50" s="87"/>
      <c r="DX50" s="87"/>
      <c r="DY50" s="87"/>
      <c r="DZ50" s="87"/>
      <c r="EA50" s="87"/>
      <c r="EB50" s="87"/>
      <c r="EC50" s="87"/>
      <c r="ED50" s="87"/>
      <c r="EE50" s="87"/>
      <c r="EF50" s="87"/>
      <c r="EG50" s="87"/>
      <c r="EH50" s="87"/>
      <c r="EI50" s="87"/>
      <c r="EJ50" s="87"/>
      <c r="EK50" s="87"/>
      <c r="EL50" s="87"/>
      <c r="EM50" s="87"/>
      <c r="EN50" s="87"/>
      <c r="EO50" s="87"/>
      <c r="EP50" s="87"/>
      <c r="EQ50" s="87"/>
      <c r="ER50" s="87"/>
      <c r="ES50" s="87"/>
      <c r="ET50" s="87"/>
      <c r="EU50" s="87"/>
      <c r="EV50" s="87"/>
      <c r="EW50" s="87"/>
      <c r="EX50" s="87"/>
      <c r="EY50" s="87"/>
      <c r="EZ50" s="87"/>
      <c r="FA50" s="87"/>
      <c r="FB50" s="87"/>
      <c r="FC50" s="87"/>
      <c r="FD50" s="87"/>
      <c r="FE50" s="87"/>
      <c r="FF50" s="87"/>
      <c r="FG50" s="87"/>
      <c r="FH50" s="87"/>
      <c r="FI50" s="87"/>
      <c r="FJ50" s="87"/>
      <c r="FK50" s="87"/>
      <c r="FL50" s="87"/>
      <c r="FM50" s="87"/>
      <c r="FN50" s="87"/>
      <c r="FO50" s="87"/>
      <c r="FP50" s="87"/>
      <c r="FQ50" s="87"/>
      <c r="FR50" s="87"/>
      <c r="FS50" s="87"/>
      <c r="FT50" s="87"/>
      <c r="FU50" s="87"/>
      <c r="FV50" s="87"/>
      <c r="FW50" s="87"/>
      <c r="FX50" s="87"/>
      <c r="FY50" s="87"/>
      <c r="FZ50" s="87"/>
      <c r="GA50" s="87"/>
      <c r="GB50" s="87"/>
      <c r="GC50" s="87"/>
      <c r="GD50" s="87"/>
      <c r="GE50" s="87"/>
      <c r="GF50" s="87"/>
      <c r="GG50" s="87"/>
      <c r="GH50" s="87"/>
      <c r="GI50" s="87"/>
      <c r="GJ50" s="87"/>
      <c r="GK50" s="87"/>
      <c r="GL50" s="87"/>
      <c r="GM50" s="87"/>
      <c r="GN50" s="87"/>
      <c r="GO50" s="87"/>
      <c r="GP50" s="87"/>
      <c r="GQ50" s="87"/>
      <c r="GR50" s="87"/>
      <c r="GS50" s="87"/>
      <c r="GT50" s="87"/>
      <c r="GU50" s="87"/>
      <c r="GV50" s="87"/>
      <c r="GW50" s="87"/>
      <c r="GX50" s="87"/>
      <c r="GY50" s="87"/>
      <c r="GZ50" s="87"/>
      <c r="HA50" s="87"/>
      <c r="HB50" s="87"/>
      <c r="HC50" s="87"/>
      <c r="HD50" s="87"/>
      <c r="HE50" s="87"/>
      <c r="HF50" s="87"/>
      <c r="HG50" s="87"/>
      <c r="HH50" s="87"/>
      <c r="HI50" s="87"/>
      <c r="HJ50" s="87"/>
      <c r="HK50" s="87"/>
      <c r="HL50" s="87"/>
      <c r="HM50" s="87"/>
      <c r="HN50" s="87"/>
      <c r="HO50" s="87"/>
      <c r="HP50" s="87"/>
      <c r="HQ50" s="87"/>
      <c r="HR50" s="87"/>
      <c r="HS50" s="87"/>
      <c r="HT50" s="87"/>
      <c r="HU50" s="87"/>
      <c r="HV50" s="87"/>
      <c r="HW50" s="87"/>
      <c r="HX50" s="87"/>
      <c r="HY50" s="87"/>
      <c r="HZ50" s="87"/>
      <c r="IA50" s="87"/>
      <c r="IB50" s="87"/>
      <c r="IC50" s="87"/>
      <c r="ID50" s="87"/>
      <c r="IE50" s="87"/>
      <c r="IF50" s="87"/>
      <c r="IG50" s="87"/>
      <c r="IH50" s="87"/>
      <c r="II50" s="87"/>
      <c r="IJ50" s="87"/>
      <c r="IK50" s="87"/>
      <c r="IL50" s="87"/>
      <c r="IM50" s="87"/>
      <c r="IN50" s="87"/>
      <c r="IO50" s="87"/>
      <c r="IP50" s="87"/>
    </row>
    <row r="51" spans="1:250">
      <c r="A51" s="84" t="str">
        <f ca="1">Database!E48</f>
        <v>Four 1 Gbps LC-type connector multi mode fiber 1000BASE-SX Ethernet for up to 0.5 km</v>
      </c>
      <c r="B51" s="85"/>
      <c r="C51" s="85"/>
      <c r="D51" s="88"/>
      <c r="E51" s="78"/>
      <c r="F51" s="78"/>
      <c r="G51" s="78"/>
      <c r="H51" s="78"/>
      <c r="I51" s="78"/>
      <c r="J51" s="91" t="str">
        <f ca="1">Database!F48</f>
        <v>C</v>
      </c>
      <c r="K51" s="79"/>
      <c r="L51" s="82"/>
      <c r="M51" s="83"/>
      <c r="N51" s="79"/>
      <c r="O51" s="80"/>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7"/>
      <c r="BR51" s="87"/>
      <c r="BS51" s="87"/>
      <c r="BT51" s="87"/>
      <c r="BU51" s="87"/>
      <c r="BV51" s="87"/>
      <c r="BW51" s="87"/>
      <c r="BX51" s="87"/>
      <c r="BY51" s="87"/>
      <c r="BZ51" s="87"/>
      <c r="CA51" s="87"/>
      <c r="CB51" s="87"/>
      <c r="CC51" s="87"/>
      <c r="CD51" s="87"/>
      <c r="CE51" s="87"/>
      <c r="CF51" s="87"/>
      <c r="CG51" s="87"/>
      <c r="CH51" s="87"/>
      <c r="CI51" s="87"/>
      <c r="CJ51" s="87"/>
      <c r="CK51" s="87"/>
      <c r="CL51" s="87"/>
      <c r="CM51" s="87"/>
      <c r="CN51" s="87"/>
      <c r="CO51" s="87"/>
      <c r="CP51" s="87"/>
      <c r="CQ51" s="87"/>
      <c r="CR51" s="87"/>
      <c r="CS51" s="87"/>
      <c r="CT51" s="87"/>
      <c r="CU51" s="87"/>
      <c r="CV51" s="87"/>
      <c r="CW51" s="87"/>
      <c r="CX51" s="87"/>
      <c r="CY51" s="87"/>
      <c r="CZ51" s="87"/>
      <c r="DA51" s="87"/>
      <c r="DB51" s="87"/>
      <c r="DC51" s="87"/>
      <c r="DD51" s="87"/>
      <c r="DE51" s="87"/>
      <c r="DF51" s="87"/>
      <c r="DG51" s="87"/>
      <c r="DH51" s="87"/>
      <c r="DI51" s="87"/>
      <c r="DJ51" s="87"/>
      <c r="DK51" s="87"/>
      <c r="DL51" s="87"/>
      <c r="DM51" s="87"/>
      <c r="DN51" s="87"/>
      <c r="DO51" s="87"/>
      <c r="DP51" s="87"/>
      <c r="DQ51" s="87"/>
      <c r="DR51" s="87"/>
      <c r="DS51" s="87"/>
      <c r="DT51" s="87"/>
      <c r="DU51" s="87"/>
      <c r="DV51" s="87"/>
      <c r="DW51" s="87"/>
      <c r="DX51" s="87"/>
      <c r="DY51" s="87"/>
      <c r="DZ51" s="87"/>
      <c r="EA51" s="87"/>
      <c r="EB51" s="87"/>
      <c r="EC51" s="87"/>
      <c r="ED51" s="87"/>
      <c r="EE51" s="87"/>
      <c r="EF51" s="87"/>
      <c r="EG51" s="87"/>
      <c r="EH51" s="87"/>
      <c r="EI51" s="87"/>
      <c r="EJ51" s="87"/>
      <c r="EK51" s="87"/>
      <c r="EL51" s="87"/>
      <c r="EM51" s="87"/>
      <c r="EN51" s="87"/>
      <c r="EO51" s="87"/>
      <c r="EP51" s="87"/>
      <c r="EQ51" s="87"/>
      <c r="ER51" s="87"/>
      <c r="ES51" s="87"/>
      <c r="ET51" s="87"/>
      <c r="EU51" s="87"/>
      <c r="EV51" s="87"/>
      <c r="EW51" s="87"/>
      <c r="EX51" s="87"/>
      <c r="EY51" s="87"/>
      <c r="EZ51" s="87"/>
      <c r="FA51" s="87"/>
      <c r="FB51" s="87"/>
      <c r="FC51" s="87"/>
      <c r="FD51" s="87"/>
      <c r="FE51" s="87"/>
      <c r="FF51" s="87"/>
      <c r="FG51" s="87"/>
      <c r="FH51" s="87"/>
      <c r="FI51" s="87"/>
      <c r="FJ51" s="87"/>
      <c r="FK51" s="87"/>
      <c r="FL51" s="87"/>
      <c r="FM51" s="87"/>
      <c r="FN51" s="87"/>
      <c r="FO51" s="87"/>
      <c r="FP51" s="87"/>
      <c r="FQ51" s="87"/>
      <c r="FR51" s="87"/>
      <c r="FS51" s="87"/>
      <c r="FT51" s="87"/>
      <c r="FU51" s="87"/>
      <c r="FV51" s="87"/>
      <c r="FW51" s="87"/>
      <c r="FX51" s="87"/>
      <c r="FY51" s="87"/>
      <c r="FZ51" s="87"/>
      <c r="GA51" s="87"/>
      <c r="GB51" s="87"/>
      <c r="GC51" s="87"/>
      <c r="GD51" s="87"/>
      <c r="GE51" s="87"/>
      <c r="GF51" s="87"/>
      <c r="GG51" s="87"/>
      <c r="GH51" s="87"/>
      <c r="GI51" s="87"/>
      <c r="GJ51" s="87"/>
      <c r="GK51" s="87"/>
      <c r="GL51" s="87"/>
      <c r="GM51" s="87"/>
      <c r="GN51" s="87"/>
      <c r="GO51" s="87"/>
      <c r="GP51" s="87"/>
      <c r="GQ51" s="87"/>
      <c r="GR51" s="87"/>
      <c r="GS51" s="87"/>
      <c r="GT51" s="87"/>
      <c r="GU51" s="87"/>
      <c r="GV51" s="87"/>
      <c r="GW51" s="87"/>
      <c r="GX51" s="87"/>
      <c r="GY51" s="87"/>
      <c r="GZ51" s="87"/>
      <c r="HA51" s="87"/>
      <c r="HB51" s="87"/>
      <c r="HC51" s="87"/>
      <c r="HD51" s="87"/>
      <c r="HE51" s="87"/>
      <c r="HF51" s="87"/>
      <c r="HG51" s="87"/>
      <c r="HH51" s="87"/>
      <c r="HI51" s="87"/>
      <c r="HJ51" s="87"/>
      <c r="HK51" s="87"/>
      <c r="HL51" s="87"/>
      <c r="HM51" s="87"/>
      <c r="HN51" s="87"/>
      <c r="HO51" s="87"/>
      <c r="HP51" s="87"/>
      <c r="HQ51" s="87"/>
      <c r="HR51" s="87"/>
      <c r="HS51" s="87"/>
      <c r="HT51" s="87"/>
      <c r="HU51" s="87"/>
      <c r="HV51" s="87"/>
      <c r="HW51" s="87"/>
      <c r="HX51" s="87"/>
      <c r="HY51" s="87"/>
      <c r="HZ51" s="87"/>
      <c r="IA51" s="87"/>
      <c r="IB51" s="87"/>
      <c r="IC51" s="87"/>
      <c r="ID51" s="87"/>
      <c r="IE51" s="87"/>
      <c r="IF51" s="87"/>
      <c r="IG51" s="87"/>
      <c r="IH51" s="87"/>
      <c r="II51" s="87"/>
      <c r="IJ51" s="87"/>
      <c r="IK51" s="87"/>
      <c r="IL51" s="87"/>
      <c r="IM51" s="87"/>
      <c r="IN51" s="87"/>
      <c r="IO51" s="87"/>
      <c r="IP51" s="87"/>
    </row>
    <row r="52" spans="1:250">
      <c r="A52" s="84" t="str">
        <f ca="1">Database!E49</f>
        <v>Four 1 Gbps LC-type connector single mode fiber 1000BASE-LX Ethernet for up to 10 km</v>
      </c>
      <c r="B52" s="85"/>
      <c r="C52" s="85"/>
      <c r="D52" s="88"/>
      <c r="E52" s="78"/>
      <c r="F52" s="78"/>
      <c r="G52" s="78"/>
      <c r="H52" s="78"/>
      <c r="I52" s="78"/>
      <c r="J52" s="91" t="str">
        <f ca="1">Database!F49</f>
        <v>D</v>
      </c>
      <c r="K52" s="79"/>
      <c r="L52" s="82"/>
      <c r="M52" s="83"/>
      <c r="N52" s="79"/>
      <c r="O52" s="80"/>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7"/>
      <c r="BR52" s="87"/>
      <c r="BS52" s="87"/>
      <c r="BT52" s="87"/>
      <c r="BU52" s="87"/>
      <c r="BV52" s="87"/>
      <c r="BW52" s="87"/>
      <c r="BX52" s="87"/>
      <c r="BY52" s="87"/>
      <c r="BZ52" s="87"/>
      <c r="CA52" s="87"/>
      <c r="CB52" s="87"/>
      <c r="CC52" s="87"/>
      <c r="CD52" s="87"/>
      <c r="CE52" s="87"/>
      <c r="CF52" s="87"/>
      <c r="CG52" s="87"/>
      <c r="CH52" s="87"/>
      <c r="CI52" s="87"/>
      <c r="CJ52" s="87"/>
      <c r="CK52" s="87"/>
      <c r="CL52" s="87"/>
      <c r="CM52" s="87"/>
      <c r="CN52" s="87"/>
      <c r="CO52" s="87"/>
      <c r="CP52" s="87"/>
      <c r="CQ52" s="87"/>
      <c r="CR52" s="87"/>
      <c r="CS52" s="87"/>
      <c r="CT52" s="87"/>
      <c r="CU52" s="87"/>
      <c r="CV52" s="87"/>
      <c r="CW52" s="87"/>
      <c r="CX52" s="87"/>
      <c r="CY52" s="87"/>
      <c r="CZ52" s="87"/>
      <c r="DA52" s="87"/>
      <c r="DB52" s="87"/>
      <c r="DC52" s="87"/>
      <c r="DD52" s="87"/>
      <c r="DE52" s="87"/>
      <c r="DF52" s="87"/>
      <c r="DG52" s="87"/>
      <c r="DH52" s="87"/>
      <c r="DI52" s="87"/>
      <c r="DJ52" s="87"/>
      <c r="DK52" s="87"/>
      <c r="DL52" s="87"/>
      <c r="DM52" s="87"/>
      <c r="DN52" s="87"/>
      <c r="DO52" s="87"/>
      <c r="DP52" s="87"/>
      <c r="DQ52" s="87"/>
      <c r="DR52" s="87"/>
      <c r="DS52" s="87"/>
      <c r="DT52" s="87"/>
      <c r="DU52" s="87"/>
      <c r="DV52" s="87"/>
      <c r="DW52" s="87"/>
      <c r="DX52" s="87"/>
      <c r="DY52" s="87"/>
      <c r="DZ52" s="87"/>
      <c r="EA52" s="87"/>
      <c r="EB52" s="87"/>
      <c r="EC52" s="87"/>
      <c r="ED52" s="87"/>
      <c r="EE52" s="87"/>
      <c r="EF52" s="87"/>
      <c r="EG52" s="87"/>
      <c r="EH52" s="87"/>
      <c r="EI52" s="87"/>
      <c r="EJ52" s="87"/>
      <c r="EK52" s="87"/>
      <c r="EL52" s="87"/>
      <c r="EM52" s="87"/>
      <c r="EN52" s="87"/>
      <c r="EO52" s="87"/>
      <c r="EP52" s="87"/>
      <c r="EQ52" s="87"/>
      <c r="ER52" s="87"/>
      <c r="ES52" s="87"/>
      <c r="ET52" s="87"/>
      <c r="EU52" s="87"/>
      <c r="EV52" s="87"/>
      <c r="EW52" s="87"/>
      <c r="EX52" s="87"/>
      <c r="EY52" s="87"/>
      <c r="EZ52" s="87"/>
      <c r="FA52" s="87"/>
      <c r="FB52" s="87"/>
      <c r="FC52" s="87"/>
      <c r="FD52" s="87"/>
      <c r="FE52" s="87"/>
      <c r="FF52" s="87"/>
      <c r="FG52" s="87"/>
      <c r="FH52" s="87"/>
      <c r="FI52" s="87"/>
      <c r="FJ52" s="87"/>
      <c r="FK52" s="87"/>
      <c r="FL52" s="87"/>
      <c r="FM52" s="87"/>
      <c r="FN52" s="87"/>
      <c r="FO52" s="87"/>
      <c r="FP52" s="87"/>
      <c r="FQ52" s="87"/>
      <c r="FR52" s="87"/>
      <c r="FS52" s="87"/>
      <c r="FT52" s="87"/>
      <c r="FU52" s="87"/>
      <c r="FV52" s="87"/>
      <c r="FW52" s="87"/>
      <c r="FX52" s="87"/>
      <c r="FY52" s="87"/>
      <c r="FZ52" s="87"/>
      <c r="GA52" s="87"/>
      <c r="GB52" s="87"/>
      <c r="GC52" s="87"/>
      <c r="GD52" s="87"/>
      <c r="GE52" s="87"/>
      <c r="GF52" s="87"/>
      <c r="GG52" s="87"/>
      <c r="GH52" s="87"/>
      <c r="GI52" s="87"/>
      <c r="GJ52" s="87"/>
      <c r="GK52" s="87"/>
      <c r="GL52" s="87"/>
      <c r="GM52" s="87"/>
      <c r="GN52" s="87"/>
      <c r="GO52" s="87"/>
      <c r="GP52" s="87"/>
      <c r="GQ52" s="87"/>
      <c r="GR52" s="87"/>
      <c r="GS52" s="87"/>
      <c r="GT52" s="87"/>
      <c r="GU52" s="87"/>
      <c r="GV52" s="87"/>
      <c r="GW52" s="87"/>
      <c r="GX52" s="87"/>
      <c r="GY52" s="87"/>
      <c r="GZ52" s="87"/>
      <c r="HA52" s="87"/>
      <c r="HB52" s="87"/>
      <c r="HC52" s="87"/>
      <c r="HD52" s="87"/>
      <c r="HE52" s="87"/>
      <c r="HF52" s="87"/>
      <c r="HG52" s="87"/>
      <c r="HH52" s="87"/>
      <c r="HI52" s="87"/>
      <c r="HJ52" s="87"/>
      <c r="HK52" s="87"/>
      <c r="HL52" s="87"/>
      <c r="HM52" s="87"/>
      <c r="HN52" s="87"/>
      <c r="HO52" s="87"/>
      <c r="HP52" s="87"/>
      <c r="HQ52" s="87"/>
      <c r="HR52" s="87"/>
      <c r="HS52" s="87"/>
      <c r="HT52" s="87"/>
      <c r="HU52" s="87"/>
      <c r="HV52" s="87"/>
      <c r="HW52" s="87"/>
      <c r="HX52" s="87"/>
      <c r="HY52" s="87"/>
      <c r="HZ52" s="87"/>
      <c r="IA52" s="87"/>
      <c r="IB52" s="87"/>
      <c r="IC52" s="87"/>
      <c r="ID52" s="87"/>
      <c r="IE52" s="87"/>
      <c r="IF52" s="87"/>
      <c r="IG52" s="87"/>
      <c r="IH52" s="87"/>
      <c r="II52" s="87"/>
      <c r="IJ52" s="87"/>
      <c r="IK52" s="87"/>
      <c r="IL52" s="87"/>
      <c r="IM52" s="87"/>
      <c r="IN52" s="87"/>
      <c r="IO52" s="87"/>
      <c r="IP52" s="87"/>
    </row>
    <row r="53" spans="1:250">
      <c r="A53" s="84" t="str">
        <f ca="1">Database!E50</f>
        <v>Four 1 Gbps LC-type connector single mode fiber 1000BASE-ZX Ethernet for up to 40 km</v>
      </c>
      <c r="B53" s="85"/>
      <c r="C53" s="85"/>
      <c r="D53" s="88"/>
      <c r="E53" s="78"/>
      <c r="F53" s="78"/>
      <c r="G53" s="78"/>
      <c r="H53" s="78"/>
      <c r="I53" s="78"/>
      <c r="J53" s="91" t="str">
        <f ca="1">Database!F50</f>
        <v>E</v>
      </c>
      <c r="K53" s="79"/>
      <c r="L53" s="82"/>
      <c r="M53" s="83"/>
      <c r="N53" s="79"/>
      <c r="O53" s="80"/>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7"/>
      <c r="BR53" s="87"/>
      <c r="BS53" s="87"/>
      <c r="BT53" s="87"/>
      <c r="BU53" s="87"/>
      <c r="BV53" s="87"/>
      <c r="BW53" s="87"/>
      <c r="BX53" s="87"/>
      <c r="BY53" s="87"/>
      <c r="BZ53" s="87"/>
      <c r="CA53" s="87"/>
      <c r="CB53" s="87"/>
      <c r="CC53" s="87"/>
      <c r="CD53" s="87"/>
      <c r="CE53" s="87"/>
      <c r="CF53" s="87"/>
      <c r="CG53" s="87"/>
      <c r="CH53" s="87"/>
      <c r="CI53" s="87"/>
      <c r="CJ53" s="87"/>
      <c r="CK53" s="87"/>
      <c r="CL53" s="87"/>
      <c r="CM53" s="87"/>
      <c r="CN53" s="87"/>
      <c r="CO53" s="87"/>
      <c r="CP53" s="87"/>
      <c r="CQ53" s="87"/>
      <c r="CR53" s="87"/>
      <c r="CS53" s="87"/>
      <c r="CT53" s="87"/>
      <c r="CU53" s="87"/>
      <c r="CV53" s="87"/>
      <c r="CW53" s="87"/>
      <c r="CX53" s="87"/>
      <c r="CY53" s="87"/>
      <c r="CZ53" s="87"/>
      <c r="DA53" s="87"/>
      <c r="DB53" s="87"/>
      <c r="DC53" s="87"/>
      <c r="DD53" s="87"/>
      <c r="DE53" s="87"/>
      <c r="DF53" s="87"/>
      <c r="DG53" s="87"/>
      <c r="DH53" s="87"/>
      <c r="DI53" s="87"/>
      <c r="DJ53" s="87"/>
      <c r="DK53" s="87"/>
      <c r="DL53" s="87"/>
      <c r="DM53" s="87"/>
      <c r="DN53" s="87"/>
      <c r="DO53" s="87"/>
      <c r="DP53" s="87"/>
      <c r="DQ53" s="87"/>
      <c r="DR53" s="87"/>
      <c r="DS53" s="87"/>
      <c r="DT53" s="87"/>
      <c r="DU53" s="87"/>
      <c r="DV53" s="87"/>
      <c r="DW53" s="87"/>
      <c r="DX53" s="87"/>
      <c r="DY53" s="87"/>
      <c r="DZ53" s="87"/>
      <c r="EA53" s="87"/>
      <c r="EB53" s="87"/>
      <c r="EC53" s="87"/>
      <c r="ED53" s="87"/>
      <c r="EE53" s="87"/>
      <c r="EF53" s="87"/>
      <c r="EG53" s="87"/>
      <c r="EH53" s="87"/>
      <c r="EI53" s="87"/>
      <c r="EJ53" s="87"/>
      <c r="EK53" s="87"/>
      <c r="EL53" s="87"/>
      <c r="EM53" s="87"/>
      <c r="EN53" s="87"/>
      <c r="EO53" s="87"/>
      <c r="EP53" s="87"/>
      <c r="EQ53" s="87"/>
      <c r="ER53" s="87"/>
      <c r="ES53" s="87"/>
      <c r="ET53" s="87"/>
      <c r="EU53" s="87"/>
      <c r="EV53" s="87"/>
      <c r="EW53" s="87"/>
      <c r="EX53" s="87"/>
      <c r="EY53" s="87"/>
      <c r="EZ53" s="87"/>
      <c r="FA53" s="87"/>
      <c r="FB53" s="87"/>
      <c r="FC53" s="87"/>
      <c r="FD53" s="87"/>
      <c r="FE53" s="87"/>
      <c r="FF53" s="87"/>
      <c r="FG53" s="87"/>
      <c r="FH53" s="87"/>
      <c r="FI53" s="87"/>
      <c r="FJ53" s="87"/>
      <c r="FK53" s="87"/>
      <c r="FL53" s="87"/>
      <c r="FM53" s="87"/>
      <c r="FN53" s="87"/>
      <c r="FO53" s="87"/>
      <c r="FP53" s="87"/>
      <c r="FQ53" s="87"/>
      <c r="FR53" s="87"/>
      <c r="FS53" s="87"/>
      <c r="FT53" s="87"/>
      <c r="FU53" s="87"/>
      <c r="FV53" s="87"/>
      <c r="FW53" s="87"/>
      <c r="FX53" s="87"/>
      <c r="FY53" s="87"/>
      <c r="FZ53" s="87"/>
      <c r="GA53" s="87"/>
      <c r="GB53" s="87"/>
      <c r="GC53" s="87"/>
      <c r="GD53" s="87"/>
      <c r="GE53" s="87"/>
      <c r="GF53" s="87"/>
      <c r="GG53" s="87"/>
      <c r="GH53" s="87"/>
      <c r="GI53" s="87"/>
      <c r="GJ53" s="87"/>
      <c r="GK53" s="87"/>
      <c r="GL53" s="87"/>
      <c r="GM53" s="87"/>
      <c r="GN53" s="87"/>
      <c r="GO53" s="87"/>
      <c r="GP53" s="87"/>
      <c r="GQ53" s="87"/>
      <c r="GR53" s="87"/>
      <c r="GS53" s="87"/>
      <c r="GT53" s="87"/>
      <c r="GU53" s="87"/>
      <c r="GV53" s="87"/>
      <c r="GW53" s="87"/>
      <c r="GX53" s="87"/>
      <c r="GY53" s="87"/>
      <c r="GZ53" s="87"/>
      <c r="HA53" s="87"/>
      <c r="HB53" s="87"/>
      <c r="HC53" s="87"/>
      <c r="HD53" s="87"/>
      <c r="HE53" s="87"/>
      <c r="HF53" s="87"/>
      <c r="HG53" s="87"/>
      <c r="HH53" s="87"/>
      <c r="HI53" s="87"/>
      <c r="HJ53" s="87"/>
      <c r="HK53" s="87"/>
      <c r="HL53" s="87"/>
      <c r="HM53" s="87"/>
      <c r="HN53" s="87"/>
      <c r="HO53" s="87"/>
      <c r="HP53" s="87"/>
      <c r="HQ53" s="87"/>
      <c r="HR53" s="87"/>
      <c r="HS53" s="87"/>
      <c r="HT53" s="87"/>
      <c r="HU53" s="87"/>
      <c r="HV53" s="87"/>
      <c r="HW53" s="87"/>
      <c r="HX53" s="87"/>
      <c r="HY53" s="87"/>
      <c r="HZ53" s="87"/>
      <c r="IA53" s="87"/>
      <c r="IB53" s="87"/>
      <c r="IC53" s="87"/>
      <c r="ID53" s="87"/>
      <c r="IE53" s="87"/>
      <c r="IF53" s="87"/>
      <c r="IG53" s="87"/>
      <c r="IH53" s="87"/>
      <c r="II53" s="87"/>
      <c r="IJ53" s="87"/>
      <c r="IK53" s="87"/>
      <c r="IL53" s="87"/>
      <c r="IM53" s="87"/>
      <c r="IN53" s="87"/>
      <c r="IO53" s="87"/>
      <c r="IP53" s="87"/>
    </row>
    <row r="54" spans="1:250">
      <c r="A54" s="84" t="str">
        <f ca="1">Database!E51</f>
        <v>Four 1 Gbps LC-type connector single mode fiber 1000BASE-ZX Ethernet for up to 80 km</v>
      </c>
      <c r="B54" s="85"/>
      <c r="C54" s="85"/>
      <c r="D54" s="88"/>
      <c r="E54" s="78"/>
      <c r="F54" s="78"/>
      <c r="G54" s="78"/>
      <c r="H54" s="78"/>
      <c r="I54" s="78"/>
      <c r="J54" s="91" t="str">
        <f ca="1">Database!F51</f>
        <v>F</v>
      </c>
      <c r="K54" s="79"/>
      <c r="L54" s="82"/>
      <c r="M54" s="83"/>
      <c r="N54" s="79"/>
      <c r="O54" s="80"/>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7"/>
      <c r="BR54" s="87"/>
      <c r="BS54" s="87"/>
      <c r="BT54" s="87"/>
      <c r="BU54" s="87"/>
      <c r="BV54" s="87"/>
      <c r="BW54" s="87"/>
      <c r="BX54" s="87"/>
      <c r="BY54" s="87"/>
      <c r="BZ54" s="87"/>
      <c r="CA54" s="87"/>
      <c r="CB54" s="87"/>
      <c r="CC54" s="87"/>
      <c r="CD54" s="87"/>
      <c r="CE54" s="87"/>
      <c r="CF54" s="87"/>
      <c r="CG54" s="87"/>
      <c r="CH54" s="87"/>
      <c r="CI54" s="87"/>
      <c r="CJ54" s="87"/>
      <c r="CK54" s="87"/>
      <c r="CL54" s="87"/>
      <c r="CM54" s="87"/>
      <c r="CN54" s="87"/>
      <c r="CO54" s="87"/>
      <c r="CP54" s="87"/>
      <c r="CQ54" s="87"/>
      <c r="CR54" s="87"/>
      <c r="CS54" s="87"/>
      <c r="CT54" s="87"/>
      <c r="CU54" s="87"/>
      <c r="CV54" s="87"/>
      <c r="CW54" s="87"/>
      <c r="CX54" s="87"/>
      <c r="CY54" s="87"/>
      <c r="CZ54" s="87"/>
      <c r="DA54" s="87"/>
      <c r="DB54" s="87"/>
      <c r="DC54" s="87"/>
      <c r="DD54" s="87"/>
      <c r="DE54" s="87"/>
      <c r="DF54" s="87"/>
      <c r="DG54" s="87"/>
      <c r="DH54" s="87"/>
      <c r="DI54" s="87"/>
      <c r="DJ54" s="87"/>
      <c r="DK54" s="87"/>
      <c r="DL54" s="87"/>
      <c r="DM54" s="87"/>
      <c r="DN54" s="87"/>
      <c r="DO54" s="87"/>
      <c r="DP54" s="87"/>
      <c r="DQ54" s="87"/>
      <c r="DR54" s="87"/>
      <c r="DS54" s="87"/>
      <c r="DT54" s="87"/>
      <c r="DU54" s="87"/>
      <c r="DV54" s="87"/>
      <c r="DW54" s="87"/>
      <c r="DX54" s="87"/>
      <c r="DY54" s="87"/>
      <c r="DZ54" s="87"/>
      <c r="EA54" s="87"/>
      <c r="EB54" s="87"/>
      <c r="EC54" s="87"/>
      <c r="ED54" s="87"/>
      <c r="EE54" s="87"/>
      <c r="EF54" s="87"/>
      <c r="EG54" s="87"/>
      <c r="EH54" s="87"/>
      <c r="EI54" s="87"/>
      <c r="EJ54" s="87"/>
      <c r="EK54" s="87"/>
      <c r="EL54" s="87"/>
      <c r="EM54" s="87"/>
      <c r="EN54" s="87"/>
      <c r="EO54" s="87"/>
      <c r="EP54" s="87"/>
      <c r="EQ54" s="87"/>
      <c r="ER54" s="87"/>
      <c r="ES54" s="87"/>
      <c r="ET54" s="87"/>
      <c r="EU54" s="87"/>
      <c r="EV54" s="87"/>
      <c r="EW54" s="87"/>
      <c r="EX54" s="87"/>
      <c r="EY54" s="87"/>
      <c r="EZ54" s="87"/>
      <c r="FA54" s="87"/>
      <c r="FB54" s="87"/>
      <c r="FC54" s="87"/>
      <c r="FD54" s="87"/>
      <c r="FE54" s="87"/>
      <c r="FF54" s="87"/>
      <c r="FG54" s="87"/>
      <c r="FH54" s="87"/>
      <c r="FI54" s="87"/>
      <c r="FJ54" s="87"/>
      <c r="FK54" s="87"/>
      <c r="FL54" s="87"/>
      <c r="FM54" s="87"/>
      <c r="FN54" s="87"/>
      <c r="FO54" s="87"/>
      <c r="FP54" s="87"/>
      <c r="FQ54" s="87"/>
      <c r="FR54" s="87"/>
      <c r="FS54" s="87"/>
      <c r="FT54" s="87"/>
      <c r="FU54" s="87"/>
      <c r="FV54" s="87"/>
      <c r="FW54" s="87"/>
      <c r="FX54" s="87"/>
      <c r="FY54" s="87"/>
      <c r="FZ54" s="87"/>
      <c r="GA54" s="87"/>
      <c r="GB54" s="87"/>
      <c r="GC54" s="87"/>
      <c r="GD54" s="87"/>
      <c r="GE54" s="87"/>
      <c r="GF54" s="87"/>
      <c r="GG54" s="87"/>
      <c r="GH54" s="87"/>
      <c r="GI54" s="87"/>
      <c r="GJ54" s="87"/>
      <c r="GK54" s="87"/>
      <c r="GL54" s="87"/>
      <c r="GM54" s="87"/>
      <c r="GN54" s="87"/>
      <c r="GO54" s="87"/>
      <c r="GP54" s="87"/>
      <c r="GQ54" s="87"/>
      <c r="GR54" s="87"/>
      <c r="GS54" s="87"/>
      <c r="GT54" s="87"/>
      <c r="GU54" s="87"/>
      <c r="GV54" s="87"/>
      <c r="GW54" s="87"/>
      <c r="GX54" s="87"/>
      <c r="GY54" s="87"/>
      <c r="GZ54" s="87"/>
      <c r="HA54" s="87"/>
      <c r="HB54" s="87"/>
      <c r="HC54" s="87"/>
      <c r="HD54" s="87"/>
      <c r="HE54" s="87"/>
      <c r="HF54" s="87"/>
      <c r="HG54" s="87"/>
      <c r="HH54" s="87"/>
      <c r="HI54" s="87"/>
      <c r="HJ54" s="87"/>
      <c r="HK54" s="87"/>
      <c r="HL54" s="87"/>
      <c r="HM54" s="87"/>
      <c r="HN54" s="87"/>
      <c r="HO54" s="87"/>
      <c r="HP54" s="87"/>
      <c r="HQ54" s="87"/>
      <c r="HR54" s="87"/>
      <c r="HS54" s="87"/>
      <c r="HT54" s="87"/>
      <c r="HU54" s="87"/>
      <c r="HV54" s="87"/>
      <c r="HW54" s="87"/>
      <c r="HX54" s="87"/>
      <c r="HY54" s="87"/>
      <c r="HZ54" s="87"/>
      <c r="IA54" s="87"/>
      <c r="IB54" s="87"/>
      <c r="IC54" s="87"/>
      <c r="ID54" s="87"/>
      <c r="IE54" s="87"/>
      <c r="IF54" s="87"/>
      <c r="IG54" s="87"/>
      <c r="IH54" s="87"/>
      <c r="II54" s="87"/>
      <c r="IJ54" s="87"/>
      <c r="IK54" s="87"/>
      <c r="IL54" s="87"/>
      <c r="IM54" s="87"/>
      <c r="IN54" s="87"/>
      <c r="IO54" s="87"/>
      <c r="IP54" s="87"/>
    </row>
    <row r="55" spans="1:250">
      <c r="A55" s="84" t="str">
        <f ca="1">Database!E52</f>
        <v>Four 100 Mbps LC-type connector multi mode fiber 100BASE-FX Ethernet for up to 2 km</v>
      </c>
      <c r="B55" s="85"/>
      <c r="C55" s="85"/>
      <c r="D55" s="88"/>
      <c r="E55" s="78"/>
      <c r="F55" s="78"/>
      <c r="G55" s="78"/>
      <c r="H55" s="78"/>
      <c r="I55" s="78"/>
      <c r="J55" s="91" t="str">
        <f ca="1">Database!F52</f>
        <v>H</v>
      </c>
      <c r="K55" s="79"/>
      <c r="L55" s="82"/>
      <c r="M55" s="83"/>
      <c r="N55" s="79"/>
      <c r="O55" s="80"/>
      <c r="P55" s="87"/>
      <c r="Q55" s="87"/>
      <c r="R55" s="87"/>
      <c r="S55" s="87"/>
      <c r="T55" s="87"/>
      <c r="U55" s="87"/>
      <c r="V55" s="87"/>
      <c r="W55" s="87"/>
      <c r="X55" s="87"/>
      <c r="Y55" s="87"/>
      <c r="Z55" s="87"/>
      <c r="AA55" s="87"/>
      <c r="AB55" s="87"/>
      <c r="AC55" s="87"/>
      <c r="AD55" s="87"/>
      <c r="AE55" s="87"/>
      <c r="AF55" s="87"/>
      <c r="AG55" s="87"/>
      <c r="AH55" s="87"/>
      <c r="AI55" s="87"/>
      <c r="AJ55" s="87"/>
      <c r="AK55" s="87"/>
      <c r="AL55" s="87"/>
      <c r="AM55" s="87"/>
      <c r="AN55" s="87"/>
      <c r="AO55" s="87"/>
      <c r="AP55" s="87"/>
      <c r="AQ55" s="87"/>
      <c r="AR55" s="87"/>
      <c r="AS55" s="87"/>
      <c r="AT55" s="87"/>
      <c r="AU55" s="87"/>
      <c r="AV55" s="87"/>
      <c r="AW55" s="87"/>
      <c r="AX55" s="87"/>
      <c r="AY55" s="87"/>
      <c r="AZ55" s="87"/>
      <c r="BA55" s="87"/>
      <c r="BB55" s="87"/>
      <c r="BC55" s="87"/>
      <c r="BD55" s="87"/>
      <c r="BE55" s="87"/>
      <c r="BF55" s="87"/>
      <c r="BG55" s="87"/>
      <c r="BH55" s="87"/>
      <c r="BI55" s="87"/>
      <c r="BJ55" s="87"/>
      <c r="BK55" s="87"/>
      <c r="BL55" s="87"/>
      <c r="BM55" s="87"/>
      <c r="BN55" s="87"/>
      <c r="BO55" s="87"/>
      <c r="BP55" s="87"/>
      <c r="BQ55" s="87"/>
      <c r="BR55" s="87"/>
      <c r="BS55" s="87"/>
      <c r="BT55" s="87"/>
      <c r="BU55" s="87"/>
      <c r="BV55" s="87"/>
      <c r="BW55" s="87"/>
      <c r="BX55" s="87"/>
      <c r="BY55" s="87"/>
      <c r="BZ55" s="87"/>
      <c r="CA55" s="87"/>
      <c r="CB55" s="87"/>
      <c r="CC55" s="87"/>
      <c r="CD55" s="87"/>
      <c r="CE55" s="87"/>
      <c r="CF55" s="87"/>
      <c r="CG55" s="87"/>
      <c r="CH55" s="87"/>
      <c r="CI55" s="87"/>
      <c r="CJ55" s="87"/>
      <c r="CK55" s="87"/>
      <c r="CL55" s="87"/>
      <c r="CM55" s="87"/>
      <c r="CN55" s="87"/>
      <c r="CO55" s="87"/>
      <c r="CP55" s="87"/>
      <c r="CQ55" s="87"/>
      <c r="CR55" s="87"/>
      <c r="CS55" s="87"/>
      <c r="CT55" s="87"/>
      <c r="CU55" s="87"/>
      <c r="CV55" s="87"/>
      <c r="CW55" s="87"/>
      <c r="CX55" s="87"/>
      <c r="CY55" s="87"/>
      <c r="CZ55" s="87"/>
      <c r="DA55" s="87"/>
      <c r="DB55" s="87"/>
      <c r="DC55" s="87"/>
      <c r="DD55" s="87"/>
      <c r="DE55" s="87"/>
      <c r="DF55" s="87"/>
      <c r="DG55" s="87"/>
      <c r="DH55" s="87"/>
      <c r="DI55" s="87"/>
      <c r="DJ55" s="87"/>
      <c r="DK55" s="87"/>
      <c r="DL55" s="87"/>
      <c r="DM55" s="87"/>
      <c r="DN55" s="87"/>
      <c r="DO55" s="87"/>
      <c r="DP55" s="87"/>
      <c r="DQ55" s="87"/>
      <c r="DR55" s="87"/>
      <c r="DS55" s="87"/>
      <c r="DT55" s="87"/>
      <c r="DU55" s="87"/>
      <c r="DV55" s="87"/>
      <c r="DW55" s="87"/>
      <c r="DX55" s="87"/>
      <c r="DY55" s="87"/>
      <c r="DZ55" s="87"/>
      <c r="EA55" s="87"/>
      <c r="EB55" s="87"/>
      <c r="EC55" s="87"/>
      <c r="ED55" s="87"/>
      <c r="EE55" s="87"/>
      <c r="EF55" s="87"/>
      <c r="EG55" s="87"/>
      <c r="EH55" s="87"/>
      <c r="EI55" s="87"/>
      <c r="EJ55" s="87"/>
      <c r="EK55" s="87"/>
      <c r="EL55" s="87"/>
      <c r="EM55" s="87"/>
      <c r="EN55" s="87"/>
      <c r="EO55" s="87"/>
      <c r="EP55" s="87"/>
      <c r="EQ55" s="87"/>
      <c r="ER55" s="87"/>
      <c r="ES55" s="87"/>
      <c r="ET55" s="87"/>
      <c r="EU55" s="87"/>
      <c r="EV55" s="87"/>
      <c r="EW55" s="87"/>
      <c r="EX55" s="87"/>
      <c r="EY55" s="87"/>
      <c r="EZ55" s="87"/>
      <c r="FA55" s="87"/>
      <c r="FB55" s="87"/>
      <c r="FC55" s="87"/>
      <c r="FD55" s="87"/>
      <c r="FE55" s="87"/>
      <c r="FF55" s="87"/>
      <c r="FG55" s="87"/>
      <c r="FH55" s="87"/>
      <c r="FI55" s="87"/>
      <c r="FJ55" s="87"/>
      <c r="FK55" s="87"/>
      <c r="FL55" s="87"/>
      <c r="FM55" s="87"/>
      <c r="FN55" s="87"/>
      <c r="FO55" s="87"/>
      <c r="FP55" s="87"/>
      <c r="FQ55" s="87"/>
      <c r="FR55" s="87"/>
      <c r="FS55" s="87"/>
      <c r="FT55" s="87"/>
      <c r="FU55" s="87"/>
      <c r="FV55" s="87"/>
      <c r="FW55" s="87"/>
      <c r="FX55" s="87"/>
      <c r="FY55" s="87"/>
      <c r="FZ55" s="87"/>
      <c r="GA55" s="87"/>
      <c r="GB55" s="87"/>
      <c r="GC55" s="87"/>
      <c r="GD55" s="87"/>
      <c r="GE55" s="87"/>
      <c r="GF55" s="87"/>
      <c r="GG55" s="87"/>
      <c r="GH55" s="87"/>
      <c r="GI55" s="87"/>
      <c r="GJ55" s="87"/>
      <c r="GK55" s="87"/>
      <c r="GL55" s="87"/>
      <c r="GM55" s="87"/>
      <c r="GN55" s="87"/>
      <c r="GO55" s="87"/>
      <c r="GP55" s="87"/>
      <c r="GQ55" s="87"/>
      <c r="GR55" s="87"/>
      <c r="GS55" s="87"/>
      <c r="GT55" s="87"/>
      <c r="GU55" s="87"/>
      <c r="GV55" s="87"/>
      <c r="GW55" s="87"/>
      <c r="GX55" s="87"/>
      <c r="GY55" s="87"/>
      <c r="GZ55" s="87"/>
      <c r="HA55" s="87"/>
      <c r="HB55" s="87"/>
      <c r="HC55" s="87"/>
      <c r="HD55" s="87"/>
      <c r="HE55" s="87"/>
      <c r="HF55" s="87"/>
      <c r="HG55" s="87"/>
      <c r="HH55" s="87"/>
      <c r="HI55" s="87"/>
      <c r="HJ55" s="87"/>
      <c r="HK55" s="87"/>
      <c r="HL55" s="87"/>
      <c r="HM55" s="87"/>
      <c r="HN55" s="87"/>
      <c r="HO55" s="87"/>
      <c r="HP55" s="87"/>
      <c r="HQ55" s="87"/>
      <c r="HR55" s="87"/>
      <c r="HS55" s="87"/>
      <c r="HT55" s="87"/>
      <c r="HU55" s="87"/>
      <c r="HV55" s="87"/>
      <c r="HW55" s="87"/>
      <c r="HX55" s="87"/>
      <c r="HY55" s="87"/>
      <c r="HZ55" s="87"/>
      <c r="IA55" s="87"/>
      <c r="IB55" s="87"/>
      <c r="IC55" s="87"/>
      <c r="ID55" s="87"/>
      <c r="IE55" s="87"/>
      <c r="IF55" s="87"/>
      <c r="IG55" s="87"/>
      <c r="IH55" s="87"/>
      <c r="II55" s="87"/>
      <c r="IJ55" s="87"/>
      <c r="IK55" s="87"/>
      <c r="IL55" s="87"/>
      <c r="IM55" s="87"/>
      <c r="IN55" s="87"/>
      <c r="IO55" s="87"/>
      <c r="IP55" s="87"/>
    </row>
    <row r="56" spans="1:250">
      <c r="A56" s="84" t="str">
        <f ca="1">Database!E53</f>
        <v>Four RJ45 copper 10/100BASE-TX</v>
      </c>
      <c r="B56" s="85"/>
      <c r="C56" s="85"/>
      <c r="D56" s="88"/>
      <c r="E56" s="78"/>
      <c r="F56" s="78"/>
      <c r="G56" s="78"/>
      <c r="H56" s="78"/>
      <c r="I56" s="78"/>
      <c r="J56" s="91" t="str">
        <f ca="1">Database!F53</f>
        <v>I</v>
      </c>
      <c r="K56" s="79"/>
      <c r="L56" s="82"/>
      <c r="M56" s="83"/>
      <c r="N56" s="79"/>
      <c r="O56" s="80"/>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7"/>
      <c r="BR56" s="87"/>
      <c r="BS56" s="87"/>
      <c r="BT56" s="87"/>
      <c r="BU56" s="87"/>
      <c r="BV56" s="87"/>
      <c r="BW56" s="87"/>
      <c r="BX56" s="87"/>
      <c r="BY56" s="87"/>
      <c r="BZ56" s="87"/>
      <c r="CA56" s="87"/>
      <c r="CB56" s="87"/>
      <c r="CC56" s="87"/>
      <c r="CD56" s="87"/>
      <c r="CE56" s="87"/>
      <c r="CF56" s="87"/>
      <c r="CG56" s="87"/>
      <c r="CH56" s="87"/>
      <c r="CI56" s="87"/>
      <c r="CJ56" s="87"/>
      <c r="CK56" s="87"/>
      <c r="CL56" s="87"/>
      <c r="CM56" s="87"/>
      <c r="CN56" s="87"/>
      <c r="CO56" s="87"/>
      <c r="CP56" s="87"/>
      <c r="CQ56" s="87"/>
      <c r="CR56" s="87"/>
      <c r="CS56" s="87"/>
      <c r="CT56" s="87"/>
      <c r="CU56" s="87"/>
      <c r="CV56" s="87"/>
      <c r="CW56" s="87"/>
      <c r="CX56" s="87"/>
      <c r="CY56" s="87"/>
      <c r="CZ56" s="87"/>
      <c r="DA56" s="87"/>
      <c r="DB56" s="87"/>
      <c r="DC56" s="87"/>
      <c r="DD56" s="87"/>
      <c r="DE56" s="87"/>
      <c r="DF56" s="87"/>
      <c r="DG56" s="87"/>
      <c r="DH56" s="87"/>
      <c r="DI56" s="87"/>
      <c r="DJ56" s="87"/>
      <c r="DK56" s="87"/>
      <c r="DL56" s="87"/>
      <c r="DM56" s="87"/>
      <c r="DN56" s="87"/>
      <c r="DO56" s="87"/>
      <c r="DP56" s="87"/>
      <c r="DQ56" s="87"/>
      <c r="DR56" s="87"/>
      <c r="DS56" s="87"/>
      <c r="DT56" s="87"/>
      <c r="DU56" s="87"/>
      <c r="DV56" s="87"/>
      <c r="DW56" s="87"/>
      <c r="DX56" s="87"/>
      <c r="DY56" s="87"/>
      <c r="DZ56" s="87"/>
      <c r="EA56" s="87"/>
      <c r="EB56" s="87"/>
      <c r="EC56" s="87"/>
      <c r="ED56" s="87"/>
      <c r="EE56" s="87"/>
      <c r="EF56" s="87"/>
      <c r="EG56" s="87"/>
      <c r="EH56" s="87"/>
      <c r="EI56" s="87"/>
      <c r="EJ56" s="87"/>
      <c r="EK56" s="87"/>
      <c r="EL56" s="87"/>
      <c r="EM56" s="87"/>
      <c r="EN56" s="87"/>
      <c r="EO56" s="87"/>
      <c r="EP56" s="87"/>
      <c r="EQ56" s="87"/>
      <c r="ER56" s="87"/>
      <c r="ES56" s="87"/>
      <c r="ET56" s="87"/>
      <c r="EU56" s="87"/>
      <c r="EV56" s="87"/>
      <c r="EW56" s="87"/>
      <c r="EX56" s="87"/>
      <c r="EY56" s="87"/>
      <c r="EZ56" s="87"/>
      <c r="FA56" s="87"/>
      <c r="FB56" s="87"/>
      <c r="FC56" s="87"/>
      <c r="FD56" s="87"/>
      <c r="FE56" s="87"/>
      <c r="FF56" s="87"/>
      <c r="FG56" s="87"/>
      <c r="FH56" s="87"/>
      <c r="FI56" s="87"/>
      <c r="FJ56" s="87"/>
      <c r="FK56" s="87"/>
      <c r="FL56" s="87"/>
      <c r="FM56" s="87"/>
      <c r="FN56" s="87"/>
      <c r="FO56" s="87"/>
      <c r="FP56" s="87"/>
      <c r="FQ56" s="87"/>
      <c r="FR56" s="87"/>
      <c r="FS56" s="87"/>
      <c r="FT56" s="87"/>
      <c r="FU56" s="87"/>
      <c r="FV56" s="87"/>
      <c r="FW56" s="87"/>
      <c r="FX56" s="87"/>
      <c r="FY56" s="87"/>
      <c r="FZ56" s="87"/>
      <c r="GA56" s="87"/>
      <c r="GB56" s="87"/>
      <c r="GC56" s="87"/>
      <c r="GD56" s="87"/>
      <c r="GE56" s="87"/>
      <c r="GF56" s="87"/>
      <c r="GG56" s="87"/>
      <c r="GH56" s="87"/>
      <c r="GI56" s="87"/>
      <c r="GJ56" s="87"/>
      <c r="GK56" s="87"/>
      <c r="GL56" s="87"/>
      <c r="GM56" s="87"/>
      <c r="GN56" s="87"/>
      <c r="GO56" s="87"/>
      <c r="GP56" s="87"/>
      <c r="GQ56" s="87"/>
      <c r="GR56" s="87"/>
      <c r="GS56" s="87"/>
      <c r="GT56" s="87"/>
      <c r="GU56" s="87"/>
      <c r="GV56" s="87"/>
      <c r="GW56" s="87"/>
      <c r="GX56" s="87"/>
      <c r="GY56" s="87"/>
      <c r="GZ56" s="87"/>
      <c r="HA56" s="87"/>
      <c r="HB56" s="87"/>
      <c r="HC56" s="87"/>
      <c r="HD56" s="87"/>
      <c r="HE56" s="87"/>
      <c r="HF56" s="87"/>
      <c r="HG56" s="87"/>
      <c r="HH56" s="87"/>
      <c r="HI56" s="87"/>
      <c r="HJ56" s="87"/>
      <c r="HK56" s="87"/>
      <c r="HL56" s="87"/>
      <c r="HM56" s="87"/>
      <c r="HN56" s="87"/>
      <c r="HO56" s="87"/>
      <c r="HP56" s="87"/>
      <c r="HQ56" s="87"/>
      <c r="HR56" s="87"/>
      <c r="HS56" s="87"/>
      <c r="HT56" s="87"/>
      <c r="HU56" s="87"/>
      <c r="HV56" s="87"/>
      <c r="HW56" s="87"/>
      <c r="HX56" s="87"/>
      <c r="HY56" s="87"/>
      <c r="HZ56" s="87"/>
      <c r="IA56" s="87"/>
      <c r="IB56" s="87"/>
      <c r="IC56" s="87"/>
      <c r="ID56" s="87"/>
      <c r="IE56" s="87"/>
      <c r="IF56" s="87"/>
      <c r="IG56" s="87"/>
      <c r="IH56" s="87"/>
      <c r="II56" s="87"/>
      <c r="IJ56" s="87"/>
      <c r="IK56" s="87"/>
      <c r="IL56" s="87"/>
      <c r="IM56" s="87"/>
      <c r="IN56" s="87"/>
      <c r="IO56" s="87"/>
      <c r="IP56" s="87"/>
    </row>
    <row r="57" spans="1:250">
      <c r="A57" s="84" t="str">
        <f ca="1">Database!E54</f>
        <v>Not installed</v>
      </c>
      <c r="B57" s="85"/>
      <c r="C57" s="85"/>
      <c r="D57" s="88"/>
      <c r="E57" s="78"/>
      <c r="F57" s="78"/>
      <c r="G57" s="78"/>
      <c r="H57" s="78"/>
      <c r="I57" s="78"/>
      <c r="J57" s="91" t="str">
        <f ca="1">Database!F54</f>
        <v>X</v>
      </c>
      <c r="K57" s="79"/>
      <c r="L57" s="82"/>
      <c r="M57" s="83"/>
      <c r="N57" s="79"/>
      <c r="O57" s="80"/>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7"/>
      <c r="BR57" s="87"/>
      <c r="BS57" s="87"/>
      <c r="BT57" s="87"/>
      <c r="BU57" s="87"/>
      <c r="BV57" s="87"/>
      <c r="BW57" s="87"/>
      <c r="BX57" s="87"/>
      <c r="BY57" s="87"/>
      <c r="BZ57" s="87"/>
      <c r="CA57" s="87"/>
      <c r="CB57" s="87"/>
      <c r="CC57" s="87"/>
      <c r="CD57" s="87"/>
      <c r="CE57" s="87"/>
      <c r="CF57" s="87"/>
      <c r="CG57" s="87"/>
      <c r="CH57" s="87"/>
      <c r="CI57" s="87"/>
      <c r="CJ57" s="87"/>
      <c r="CK57" s="87"/>
      <c r="CL57" s="87"/>
      <c r="CM57" s="87"/>
      <c r="CN57" s="87"/>
      <c r="CO57" s="87"/>
      <c r="CP57" s="87"/>
      <c r="CQ57" s="87"/>
      <c r="CR57" s="87"/>
      <c r="CS57" s="87"/>
      <c r="CT57" s="87"/>
      <c r="CU57" s="87"/>
      <c r="CV57" s="87"/>
      <c r="CW57" s="87"/>
      <c r="CX57" s="87"/>
      <c r="CY57" s="87"/>
      <c r="CZ57" s="87"/>
      <c r="DA57" s="87"/>
      <c r="DB57" s="87"/>
      <c r="DC57" s="87"/>
      <c r="DD57" s="87"/>
      <c r="DE57" s="87"/>
      <c r="DF57" s="87"/>
      <c r="DG57" s="87"/>
      <c r="DH57" s="87"/>
      <c r="DI57" s="87"/>
      <c r="DJ57" s="87"/>
      <c r="DK57" s="87"/>
      <c r="DL57" s="87"/>
      <c r="DM57" s="87"/>
      <c r="DN57" s="87"/>
      <c r="DO57" s="87"/>
      <c r="DP57" s="87"/>
      <c r="DQ57" s="87"/>
      <c r="DR57" s="87"/>
      <c r="DS57" s="87"/>
      <c r="DT57" s="87"/>
      <c r="DU57" s="87"/>
      <c r="DV57" s="87"/>
      <c r="DW57" s="87"/>
      <c r="DX57" s="87"/>
      <c r="DY57" s="87"/>
      <c r="DZ57" s="87"/>
      <c r="EA57" s="87"/>
      <c r="EB57" s="87"/>
      <c r="EC57" s="87"/>
      <c r="ED57" s="87"/>
      <c r="EE57" s="87"/>
      <c r="EF57" s="87"/>
      <c r="EG57" s="87"/>
      <c r="EH57" s="87"/>
      <c r="EI57" s="87"/>
      <c r="EJ57" s="87"/>
      <c r="EK57" s="87"/>
      <c r="EL57" s="87"/>
      <c r="EM57" s="87"/>
      <c r="EN57" s="87"/>
      <c r="EO57" s="87"/>
      <c r="EP57" s="87"/>
      <c r="EQ57" s="87"/>
      <c r="ER57" s="87"/>
      <c r="ES57" s="87"/>
      <c r="ET57" s="87"/>
      <c r="EU57" s="87"/>
      <c r="EV57" s="87"/>
      <c r="EW57" s="87"/>
      <c r="EX57" s="87"/>
      <c r="EY57" s="87"/>
      <c r="EZ57" s="87"/>
      <c r="FA57" s="87"/>
      <c r="FB57" s="87"/>
      <c r="FC57" s="87"/>
      <c r="FD57" s="87"/>
      <c r="FE57" s="87"/>
      <c r="FF57" s="87"/>
      <c r="FG57" s="87"/>
      <c r="FH57" s="87"/>
      <c r="FI57" s="87"/>
      <c r="FJ57" s="87"/>
      <c r="FK57" s="87"/>
      <c r="FL57" s="87"/>
      <c r="FM57" s="87"/>
      <c r="FN57" s="87"/>
      <c r="FO57" s="87"/>
      <c r="FP57" s="87"/>
      <c r="FQ57" s="87"/>
      <c r="FR57" s="87"/>
      <c r="FS57" s="87"/>
      <c r="FT57" s="87"/>
      <c r="FU57" s="87"/>
      <c r="FV57" s="87"/>
      <c r="FW57" s="87"/>
      <c r="FX57" s="87"/>
      <c r="FY57" s="87"/>
      <c r="FZ57" s="87"/>
      <c r="GA57" s="87"/>
      <c r="GB57" s="87"/>
      <c r="GC57" s="87"/>
      <c r="GD57" s="87"/>
      <c r="GE57" s="87"/>
      <c r="GF57" s="87"/>
      <c r="GG57" s="87"/>
      <c r="GH57" s="87"/>
      <c r="GI57" s="87"/>
      <c r="GJ57" s="87"/>
      <c r="GK57" s="87"/>
      <c r="GL57" s="87"/>
      <c r="GM57" s="87"/>
      <c r="GN57" s="87"/>
      <c r="GO57" s="87"/>
      <c r="GP57" s="87"/>
      <c r="GQ57" s="87"/>
      <c r="GR57" s="87"/>
      <c r="GS57" s="87"/>
      <c r="GT57" s="87"/>
      <c r="GU57" s="87"/>
      <c r="GV57" s="87"/>
      <c r="GW57" s="87"/>
      <c r="GX57" s="87"/>
      <c r="GY57" s="87"/>
      <c r="GZ57" s="87"/>
      <c r="HA57" s="87"/>
      <c r="HB57" s="87"/>
      <c r="HC57" s="87"/>
      <c r="HD57" s="87"/>
      <c r="HE57" s="87"/>
      <c r="HF57" s="87"/>
      <c r="HG57" s="87"/>
      <c r="HH57" s="87"/>
      <c r="HI57" s="87"/>
      <c r="HJ57" s="87"/>
      <c r="HK57" s="87"/>
      <c r="HL57" s="87"/>
      <c r="HM57" s="87"/>
      <c r="HN57" s="87"/>
      <c r="HO57" s="87"/>
      <c r="HP57" s="87"/>
      <c r="HQ57" s="87"/>
      <c r="HR57" s="87"/>
      <c r="HS57" s="87"/>
      <c r="HT57" s="87"/>
      <c r="HU57" s="87"/>
      <c r="HV57" s="87"/>
      <c r="HW57" s="87"/>
      <c r="HX57" s="87"/>
      <c r="HY57" s="87"/>
      <c r="HZ57" s="87"/>
      <c r="IA57" s="87"/>
      <c r="IB57" s="87"/>
      <c r="IC57" s="87"/>
      <c r="ID57" s="87"/>
      <c r="IE57" s="87"/>
      <c r="IF57" s="87"/>
      <c r="IG57" s="87"/>
      <c r="IH57" s="87"/>
      <c r="II57" s="87"/>
      <c r="IJ57" s="87"/>
      <c r="IK57" s="87"/>
      <c r="IL57" s="87"/>
      <c r="IM57" s="87"/>
      <c r="IN57" s="87"/>
      <c r="IO57" s="87"/>
      <c r="IP57" s="87"/>
    </row>
    <row r="58" spans="1:250">
      <c r="A58" s="84" t="str">
        <f ca="1">Database!E55</f>
        <v>Four 1 Gbps RJ45 SFP Transceivers 10/100BASE-TX/1000BASE-T Ethernet ports (Not CE marked) (Withdraw)</v>
      </c>
      <c r="B58" s="85"/>
      <c r="C58" s="85"/>
      <c r="D58" s="88"/>
      <c r="E58" s="78"/>
      <c r="F58" s="78"/>
      <c r="G58" s="78"/>
      <c r="H58" s="78"/>
      <c r="I58" s="78"/>
      <c r="J58" s="91" t="str">
        <f ca="1">Database!F55</f>
        <v>J</v>
      </c>
      <c r="K58" s="79"/>
      <c r="L58" s="82"/>
      <c r="M58" s="83"/>
      <c r="N58" s="79"/>
      <c r="O58" s="80"/>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7"/>
      <c r="BR58" s="87"/>
      <c r="BS58" s="87"/>
      <c r="BT58" s="87"/>
      <c r="BU58" s="87"/>
      <c r="BV58" s="87"/>
      <c r="BW58" s="87"/>
      <c r="BX58" s="87"/>
      <c r="BY58" s="87"/>
      <c r="BZ58" s="87"/>
      <c r="CA58" s="87"/>
      <c r="CB58" s="87"/>
      <c r="CC58" s="87"/>
      <c r="CD58" s="87"/>
      <c r="CE58" s="87"/>
      <c r="CF58" s="87"/>
      <c r="CG58" s="87"/>
      <c r="CH58" s="87"/>
      <c r="CI58" s="87"/>
      <c r="CJ58" s="87"/>
      <c r="CK58" s="87"/>
      <c r="CL58" s="87"/>
      <c r="CM58" s="87"/>
      <c r="CN58" s="87"/>
      <c r="CO58" s="87"/>
      <c r="CP58" s="87"/>
      <c r="CQ58" s="87"/>
      <c r="CR58" s="87"/>
      <c r="CS58" s="87"/>
      <c r="CT58" s="87"/>
      <c r="CU58" s="87"/>
      <c r="CV58" s="87"/>
      <c r="CW58" s="87"/>
      <c r="CX58" s="87"/>
      <c r="CY58" s="87"/>
      <c r="CZ58" s="87"/>
      <c r="DA58" s="87"/>
      <c r="DB58" s="87"/>
      <c r="DC58" s="87"/>
      <c r="DD58" s="87"/>
      <c r="DE58" s="87"/>
      <c r="DF58" s="87"/>
      <c r="DG58" s="87"/>
      <c r="DH58" s="87"/>
      <c r="DI58" s="87"/>
      <c r="DJ58" s="87"/>
      <c r="DK58" s="87"/>
      <c r="DL58" s="87"/>
      <c r="DM58" s="87"/>
      <c r="DN58" s="87"/>
      <c r="DO58" s="87"/>
      <c r="DP58" s="87"/>
      <c r="DQ58" s="87"/>
      <c r="DR58" s="87"/>
      <c r="DS58" s="87"/>
      <c r="DT58" s="87"/>
      <c r="DU58" s="87"/>
      <c r="DV58" s="87"/>
      <c r="DW58" s="87"/>
      <c r="DX58" s="87"/>
      <c r="DY58" s="87"/>
      <c r="DZ58" s="87"/>
      <c r="EA58" s="87"/>
      <c r="EB58" s="87"/>
      <c r="EC58" s="87"/>
      <c r="ED58" s="87"/>
      <c r="EE58" s="87"/>
      <c r="EF58" s="87"/>
      <c r="EG58" s="87"/>
      <c r="EH58" s="87"/>
      <c r="EI58" s="87"/>
      <c r="EJ58" s="87"/>
      <c r="EK58" s="87"/>
      <c r="EL58" s="87"/>
      <c r="EM58" s="87"/>
      <c r="EN58" s="87"/>
      <c r="EO58" s="87"/>
      <c r="EP58" s="87"/>
      <c r="EQ58" s="87"/>
      <c r="ER58" s="87"/>
      <c r="ES58" s="87"/>
      <c r="ET58" s="87"/>
      <c r="EU58" s="87"/>
      <c r="EV58" s="87"/>
      <c r="EW58" s="87"/>
      <c r="EX58" s="87"/>
      <c r="EY58" s="87"/>
      <c r="EZ58" s="87"/>
      <c r="FA58" s="87"/>
      <c r="FB58" s="87"/>
      <c r="FC58" s="87"/>
      <c r="FD58" s="87"/>
      <c r="FE58" s="87"/>
      <c r="FF58" s="87"/>
      <c r="FG58" s="87"/>
      <c r="FH58" s="87"/>
      <c r="FI58" s="87"/>
      <c r="FJ58" s="87"/>
      <c r="FK58" s="87"/>
      <c r="FL58" s="87"/>
      <c r="FM58" s="87"/>
      <c r="FN58" s="87"/>
      <c r="FO58" s="87"/>
      <c r="FP58" s="87"/>
      <c r="FQ58" s="87"/>
      <c r="FR58" s="87"/>
      <c r="FS58" s="87"/>
      <c r="FT58" s="87"/>
      <c r="FU58" s="87"/>
      <c r="FV58" s="87"/>
      <c r="FW58" s="87"/>
      <c r="FX58" s="87"/>
      <c r="FY58" s="87"/>
      <c r="FZ58" s="87"/>
      <c r="GA58" s="87"/>
      <c r="GB58" s="87"/>
      <c r="GC58" s="87"/>
      <c r="GD58" s="87"/>
      <c r="GE58" s="87"/>
      <c r="GF58" s="87"/>
      <c r="GG58" s="87"/>
      <c r="GH58" s="87"/>
      <c r="GI58" s="87"/>
      <c r="GJ58" s="87"/>
      <c r="GK58" s="87"/>
      <c r="GL58" s="87"/>
      <c r="GM58" s="87"/>
      <c r="GN58" s="87"/>
      <c r="GO58" s="87"/>
      <c r="GP58" s="87"/>
      <c r="GQ58" s="87"/>
      <c r="GR58" s="87"/>
      <c r="GS58" s="87"/>
      <c r="GT58" s="87"/>
      <c r="GU58" s="87"/>
      <c r="GV58" s="87"/>
      <c r="GW58" s="87"/>
      <c r="GX58" s="87"/>
      <c r="GY58" s="87"/>
      <c r="GZ58" s="87"/>
      <c r="HA58" s="87"/>
      <c r="HB58" s="87"/>
      <c r="HC58" s="87"/>
      <c r="HD58" s="87"/>
      <c r="HE58" s="87"/>
      <c r="HF58" s="87"/>
      <c r="HG58" s="87"/>
      <c r="HH58" s="87"/>
      <c r="HI58" s="87"/>
      <c r="HJ58" s="87"/>
      <c r="HK58" s="87"/>
      <c r="HL58" s="87"/>
      <c r="HM58" s="87"/>
      <c r="HN58" s="87"/>
      <c r="HO58" s="87"/>
      <c r="HP58" s="87"/>
      <c r="HQ58" s="87"/>
      <c r="HR58" s="87"/>
      <c r="HS58" s="87"/>
      <c r="HT58" s="87"/>
      <c r="HU58" s="87"/>
      <c r="HV58" s="87"/>
      <c r="HW58" s="87"/>
      <c r="HX58" s="87"/>
      <c r="HY58" s="87"/>
      <c r="HZ58" s="87"/>
      <c r="IA58" s="87"/>
      <c r="IB58" s="87"/>
      <c r="IC58" s="87"/>
      <c r="ID58" s="87"/>
      <c r="IE58" s="87"/>
      <c r="IF58" s="87"/>
      <c r="IG58" s="87"/>
      <c r="IH58" s="87"/>
      <c r="II58" s="87"/>
      <c r="IJ58" s="87"/>
      <c r="IK58" s="87"/>
      <c r="IL58" s="87"/>
      <c r="IM58" s="87"/>
      <c r="IN58" s="87"/>
      <c r="IO58" s="87"/>
      <c r="IP58" s="87"/>
    </row>
    <row r="59" spans="1:250">
      <c r="A59" s="92"/>
      <c r="B59" s="119"/>
      <c r="C59" s="119"/>
      <c r="D59" s="120"/>
      <c r="E59" s="120"/>
      <c r="F59" s="120"/>
      <c r="G59" s="120"/>
      <c r="H59" s="120"/>
      <c r="I59" s="120"/>
      <c r="J59" s="120"/>
      <c r="K59" s="79"/>
      <c r="L59" s="82"/>
      <c r="M59" s="83"/>
      <c r="N59" s="79"/>
      <c r="O59" s="80"/>
    </row>
    <row r="60" spans="1:250">
      <c r="A60" s="76" t="str">
        <f>Database!B57</f>
        <v>Interface Module 4</v>
      </c>
      <c r="K60" s="79"/>
      <c r="L60" s="82"/>
      <c r="M60" s="83"/>
      <c r="N60" s="79"/>
      <c r="O60" s="80"/>
    </row>
    <row r="61" spans="1:250">
      <c r="A61" s="84" t="str">
        <f ca="1">Database!E58</f>
        <v>Four 1 Gbps RJ45 copper 10/100BASE-TX/1000BASE-T Ethernet ports</v>
      </c>
      <c r="K61" s="91" t="str">
        <f ca="1">Database!F58</f>
        <v>A</v>
      </c>
      <c r="L61" s="82"/>
      <c r="M61" s="83"/>
      <c r="N61" s="79"/>
      <c r="O61" s="80"/>
    </row>
    <row r="62" spans="1:250">
      <c r="A62" s="84" t="str">
        <f ca="1">Database!E59</f>
        <v>Four slots for SFP transceivers</v>
      </c>
      <c r="K62" s="91" t="str">
        <f ca="1">Database!F59</f>
        <v>B</v>
      </c>
      <c r="L62" s="82"/>
      <c r="M62" s="83"/>
      <c r="N62" s="79"/>
      <c r="O62" s="80"/>
    </row>
    <row r="63" spans="1:250">
      <c r="A63" s="84" t="str">
        <f ca="1">Database!E60</f>
        <v>Four 1 Gbps LC-type connector multi mode fiber 1000BASE-SX Ethernet for up to 0.5 km</v>
      </c>
      <c r="K63" s="91" t="str">
        <f ca="1">Database!F60</f>
        <v>C</v>
      </c>
      <c r="L63" s="82"/>
      <c r="M63" s="83"/>
      <c r="N63" s="79"/>
      <c r="O63" s="80"/>
    </row>
    <row r="64" spans="1:250">
      <c r="A64" s="84" t="str">
        <f ca="1">Database!E61</f>
        <v>Four 1 Gbps LC-type connector single mode fiber 1000BASE-LX Ethernet for up to 10 km</v>
      </c>
      <c r="K64" s="91" t="str">
        <f ca="1">Database!F61</f>
        <v>D</v>
      </c>
      <c r="L64" s="82"/>
      <c r="M64" s="83"/>
      <c r="N64" s="79"/>
      <c r="O64" s="80"/>
    </row>
    <row r="65" spans="1:15">
      <c r="A65" s="84" t="str">
        <f ca="1">Database!E62</f>
        <v>Four 1 Gbps LC-type connector single mode fiber 1000BASE-ZX Ethernet for up to 40 km</v>
      </c>
      <c r="K65" s="91" t="str">
        <f ca="1">Database!F62</f>
        <v>E</v>
      </c>
      <c r="L65" s="82"/>
      <c r="M65" s="83"/>
      <c r="N65" s="79"/>
      <c r="O65" s="80"/>
    </row>
    <row r="66" spans="1:15">
      <c r="A66" s="84" t="str">
        <f ca="1">Database!E63</f>
        <v>Four 1 Gbps LC-type connector single mode fiber 1000BASE-ZX Ethernet for up to 80 km</v>
      </c>
      <c r="K66" s="91" t="str">
        <f ca="1">Database!F63</f>
        <v>F</v>
      </c>
      <c r="L66" s="82"/>
      <c r="M66" s="83"/>
      <c r="N66" s="79"/>
      <c r="O66" s="80"/>
    </row>
    <row r="67" spans="1:15">
      <c r="A67" s="84" t="str">
        <f ca="1">Database!E64</f>
        <v>Four 100 Mbps LC-type connector multi mode fiber 100BASE-FX Ethernet for up to 2 km</v>
      </c>
      <c r="K67" s="91" t="str">
        <f ca="1">Database!F64</f>
        <v>H</v>
      </c>
      <c r="L67" s="82"/>
      <c r="M67" s="83"/>
      <c r="N67" s="79"/>
      <c r="O67" s="80"/>
    </row>
    <row r="68" spans="1:15">
      <c r="A68" s="84" t="str">
        <f ca="1">Database!E65</f>
        <v>Four RJ45 copper 10/100BASE-TX</v>
      </c>
      <c r="K68" s="91" t="str">
        <f ca="1">Database!F65</f>
        <v>I</v>
      </c>
      <c r="L68" s="82"/>
      <c r="M68" s="83"/>
      <c r="N68" s="79"/>
      <c r="O68" s="80"/>
    </row>
    <row r="69" spans="1:15">
      <c r="A69" s="84" t="str">
        <f ca="1">Database!E66</f>
        <v>Not installed</v>
      </c>
      <c r="K69" s="91" t="str">
        <f ca="1">Database!F66</f>
        <v>X</v>
      </c>
      <c r="L69" s="82"/>
      <c r="M69" s="83"/>
      <c r="N69" s="79"/>
      <c r="O69" s="80"/>
    </row>
    <row r="70" spans="1:15">
      <c r="A70" s="84" t="str">
        <f ca="1">Database!E67</f>
        <v>Four 1 Gbps RJ45 SFP Transceivers 10/100BASE-TX/1000BASE-T Ethernet ports (Not CE marked) (Withdraw)</v>
      </c>
      <c r="K70" s="91" t="str">
        <f ca="1">Database!F67</f>
        <v>J</v>
      </c>
      <c r="L70" s="82"/>
      <c r="M70" s="83"/>
      <c r="N70" s="79"/>
      <c r="O70" s="80"/>
    </row>
    <row r="71" spans="1:15">
      <c r="A71" s="92"/>
      <c r="B71" s="119"/>
      <c r="C71" s="119"/>
      <c r="D71" s="120"/>
      <c r="E71" s="120"/>
      <c r="F71" s="120"/>
      <c r="G71" s="120"/>
      <c r="H71" s="120"/>
      <c r="I71" s="120"/>
      <c r="J71" s="120"/>
      <c r="K71" s="121"/>
      <c r="L71" s="82"/>
      <c r="M71" s="83"/>
      <c r="N71" s="79"/>
      <c r="O71" s="80"/>
    </row>
    <row r="72" spans="1:15">
      <c r="A72" s="76" t="str">
        <f>Database!B69</f>
        <v>Interface Module 5</v>
      </c>
      <c r="L72" s="82"/>
      <c r="M72" s="83"/>
      <c r="N72" s="79"/>
      <c r="O72" s="80"/>
    </row>
    <row r="73" spans="1:15">
      <c r="A73" s="84" t="str">
        <f ca="1">Database!E70</f>
        <v>Four 1 Gbps RJ45 copper 10/100BASE-TX/1000BASE-T Ethernet ports</v>
      </c>
      <c r="L73" s="91" t="str">
        <f ca="1">Database!F70</f>
        <v>A</v>
      </c>
      <c r="M73" s="83"/>
      <c r="N73" s="79"/>
      <c r="O73" s="80"/>
    </row>
    <row r="74" spans="1:15">
      <c r="A74" s="84" t="str">
        <f ca="1">Database!E71</f>
        <v>Four slots for SFP transceivers</v>
      </c>
      <c r="L74" s="91" t="str">
        <f ca="1">Database!F71</f>
        <v>B</v>
      </c>
      <c r="M74" s="83"/>
      <c r="N74" s="79"/>
      <c r="O74" s="80"/>
    </row>
    <row r="75" spans="1:15">
      <c r="A75" s="84" t="str">
        <f ca="1">Database!E72</f>
        <v>Four 1 Gbps LC-type connector multi mode fiber 1000BASE-SX Ethernet for up to 0.5 km</v>
      </c>
      <c r="L75" s="91" t="str">
        <f ca="1">Database!F72</f>
        <v>C</v>
      </c>
      <c r="M75" s="83"/>
      <c r="N75" s="79"/>
      <c r="O75" s="80"/>
    </row>
    <row r="76" spans="1:15">
      <c r="A76" s="84" t="str">
        <f ca="1">Database!E73</f>
        <v>Four 1 Gbps LC-type connector single mode fiber 1000BASE-LX Ethernet for up to 10 km</v>
      </c>
      <c r="L76" s="91" t="str">
        <f ca="1">Database!F73</f>
        <v>D</v>
      </c>
      <c r="M76" s="83"/>
      <c r="N76" s="79"/>
      <c r="O76" s="80"/>
    </row>
    <row r="77" spans="1:15">
      <c r="A77" s="84" t="str">
        <f ca="1">Database!E74</f>
        <v>Four 1 Gbps LC-type connector single mode fiber 1000BASE-ZX Ethernet for up to 40 km</v>
      </c>
      <c r="L77" s="91" t="str">
        <f ca="1">Database!F74</f>
        <v>E</v>
      </c>
      <c r="M77" s="83"/>
      <c r="N77" s="79"/>
      <c r="O77" s="80"/>
    </row>
    <row r="78" spans="1:15">
      <c r="A78" s="84" t="str">
        <f ca="1">Database!E75</f>
        <v>Four 1 Gbps LC-type connector single mode fiber 1000BASE-ZX Ethernet for up to 80 km</v>
      </c>
      <c r="L78" s="91" t="str">
        <f ca="1">Database!F75</f>
        <v>F</v>
      </c>
      <c r="M78" s="83"/>
      <c r="N78" s="79"/>
      <c r="O78" s="80"/>
    </row>
    <row r="79" spans="1:15">
      <c r="A79" s="84" t="str">
        <f ca="1">Database!E76</f>
        <v>Four 100 Mbps LC-type connector multi mode fiber 100BASE-FX Ethernet for up to 2 km</v>
      </c>
      <c r="L79" s="91" t="str">
        <f ca="1">Database!F76</f>
        <v>H</v>
      </c>
      <c r="M79" s="83"/>
      <c r="N79" s="79"/>
      <c r="O79" s="80"/>
    </row>
    <row r="80" spans="1:15">
      <c r="A80" s="84" t="str">
        <f ca="1">Database!E77</f>
        <v>Four RJ45 copper 10/100BASE-TX</v>
      </c>
      <c r="L80" s="91" t="str">
        <f ca="1">Database!F77</f>
        <v>I</v>
      </c>
      <c r="M80" s="83"/>
      <c r="N80" s="79"/>
      <c r="O80" s="80"/>
    </row>
    <row r="81" spans="1:15">
      <c r="A81" s="84" t="str">
        <f ca="1">Database!E78</f>
        <v>Not installed</v>
      </c>
      <c r="L81" s="91" t="str">
        <f ca="1">Database!F78</f>
        <v>X</v>
      </c>
      <c r="M81" s="83"/>
      <c r="N81" s="79"/>
      <c r="O81" s="80"/>
    </row>
    <row r="82" spans="1:15">
      <c r="A82" s="84" t="str">
        <f ca="1">Database!E79</f>
        <v>Four 1 Gbps RJ45 SFP Transceivers 10/100BASE-TX/1000BASE-T Ethernet ports (Not CE marked) (Withdraw)</v>
      </c>
      <c r="L82" s="91" t="str">
        <f ca="1">Database!F79</f>
        <v>J</v>
      </c>
      <c r="M82" s="83"/>
      <c r="N82" s="79"/>
      <c r="O82" s="80"/>
    </row>
    <row r="83" spans="1:15">
      <c r="A83" s="84"/>
      <c r="M83" s="83"/>
      <c r="N83" s="79"/>
      <c r="O83" s="80"/>
    </row>
    <row r="84" spans="1:15">
      <c r="A84" s="89" t="str">
        <f>Database!B81</f>
        <v>Interface Module 6</v>
      </c>
      <c r="B84" s="129"/>
      <c r="C84" s="129"/>
      <c r="D84" s="130"/>
      <c r="E84" s="130"/>
      <c r="F84" s="130"/>
      <c r="G84" s="130"/>
      <c r="H84" s="130"/>
      <c r="I84" s="130"/>
      <c r="J84" s="130"/>
      <c r="K84" s="130"/>
      <c r="L84" s="130"/>
      <c r="M84" s="83"/>
      <c r="N84" s="79"/>
      <c r="O84" s="80"/>
    </row>
    <row r="85" spans="1:15">
      <c r="A85" s="84" t="str">
        <f ca="1">Database!E82</f>
        <v>Four 1 Gbps RJ45 copper 10/100BASE-TX/1000BASE-T Ethernet ports</v>
      </c>
      <c r="B85" s="66"/>
      <c r="C85" s="66"/>
      <c r="D85" s="67"/>
      <c r="E85" s="67"/>
      <c r="F85" s="67"/>
      <c r="G85" s="67"/>
      <c r="H85" s="67"/>
      <c r="I85" s="67"/>
      <c r="J85" s="67"/>
      <c r="M85" s="91" t="str">
        <f ca="1">Database!F82</f>
        <v>A</v>
      </c>
      <c r="N85" s="79"/>
      <c r="O85" s="80"/>
    </row>
    <row r="86" spans="1:15">
      <c r="A86" s="84" t="str">
        <f ca="1">Database!E83</f>
        <v>Four slots for SFP transceivers</v>
      </c>
      <c r="B86" s="66"/>
      <c r="C86" s="66"/>
      <c r="D86" s="67"/>
      <c r="E86" s="67"/>
      <c r="F86" s="67"/>
      <c r="G86" s="67"/>
      <c r="H86" s="67"/>
      <c r="I86" s="67"/>
      <c r="J86" s="67"/>
      <c r="M86" s="91" t="str">
        <f ca="1">Database!F83</f>
        <v>B</v>
      </c>
      <c r="N86" s="79"/>
      <c r="O86" s="80"/>
    </row>
    <row r="87" spans="1:15">
      <c r="A87" s="84" t="str">
        <f ca="1">Database!E84</f>
        <v>Four 1 Gbps LC-type connector multi mode fiber 1000BASE-SX Ethernet for up to 0.5 km</v>
      </c>
      <c r="B87" s="66"/>
      <c r="C87" s="66"/>
      <c r="D87" s="67"/>
      <c r="E87" s="67"/>
      <c r="F87" s="67"/>
      <c r="G87" s="67"/>
      <c r="H87" s="67"/>
      <c r="I87" s="67"/>
      <c r="J87" s="67"/>
      <c r="M87" s="91" t="str">
        <f ca="1">Database!F84</f>
        <v>C</v>
      </c>
      <c r="N87" s="79"/>
      <c r="O87" s="80"/>
    </row>
    <row r="88" spans="1:15">
      <c r="A88" s="84" t="str">
        <f ca="1">Database!E85</f>
        <v>Four 1 Gbps LC-type connector single mode fiber 1000BASE-LX Ethernet for up to 10 km</v>
      </c>
      <c r="B88" s="66"/>
      <c r="C88" s="66"/>
      <c r="D88" s="67"/>
      <c r="E88" s="67"/>
      <c r="F88" s="67"/>
      <c r="G88" s="67"/>
      <c r="H88" s="67"/>
      <c r="I88" s="67"/>
      <c r="J88" s="67"/>
      <c r="M88" s="91" t="str">
        <f ca="1">Database!F85</f>
        <v>D</v>
      </c>
      <c r="N88" s="79"/>
      <c r="O88" s="80"/>
    </row>
    <row r="89" spans="1:15">
      <c r="A89" s="84" t="str">
        <f ca="1">Database!E86</f>
        <v>Four 1 Gbps LC-type connector single mode fiber 1000BASE-ZX Ethernet for up to 40 km</v>
      </c>
      <c r="B89" s="66"/>
      <c r="C89" s="66"/>
      <c r="D89" s="67"/>
      <c r="E89" s="67"/>
      <c r="F89" s="67"/>
      <c r="G89" s="67"/>
      <c r="H89" s="67"/>
      <c r="I89" s="67"/>
      <c r="J89" s="67"/>
      <c r="M89" s="91" t="str">
        <f ca="1">Database!F86</f>
        <v>E</v>
      </c>
      <c r="N89" s="79"/>
      <c r="O89" s="80"/>
    </row>
    <row r="90" spans="1:15">
      <c r="A90" s="84" t="str">
        <f ca="1">Database!E87</f>
        <v>Four 1 Gbps LC-type connector single mode fiber 1000BASE-ZX Ethernet for up to 80 km</v>
      </c>
      <c r="B90" s="66"/>
      <c r="C90" s="66"/>
      <c r="D90" s="67"/>
      <c r="E90" s="67"/>
      <c r="F90" s="67"/>
      <c r="G90" s="67"/>
      <c r="H90" s="67"/>
      <c r="I90" s="67"/>
      <c r="J90" s="67"/>
      <c r="M90" s="91" t="str">
        <f ca="1">Database!F87</f>
        <v>F</v>
      </c>
      <c r="N90" s="79"/>
      <c r="O90" s="80"/>
    </row>
    <row r="91" spans="1:15">
      <c r="A91" s="84" t="str">
        <f ca="1">Database!E88</f>
        <v>Four 100 Mbps LC-type connector multi mode fiber 100BASE-FX Ethernet for up to 2 km</v>
      </c>
      <c r="B91" s="66"/>
      <c r="C91" s="66"/>
      <c r="D91" s="67"/>
      <c r="E91" s="67"/>
      <c r="F91" s="67"/>
      <c r="G91" s="67"/>
      <c r="H91" s="67"/>
      <c r="I91" s="67"/>
      <c r="J91" s="67"/>
      <c r="M91" s="91" t="str">
        <f ca="1">Database!F88</f>
        <v>H</v>
      </c>
      <c r="N91" s="79"/>
      <c r="O91" s="80"/>
    </row>
    <row r="92" spans="1:15">
      <c r="A92" s="84" t="str">
        <f ca="1">Database!E89</f>
        <v>Four RJ45 copper 10/100BASE-TX</v>
      </c>
      <c r="B92" s="66"/>
      <c r="C92" s="66"/>
      <c r="D92" s="67"/>
      <c r="E92" s="67"/>
      <c r="F92" s="67"/>
      <c r="G92" s="67"/>
      <c r="H92" s="67"/>
      <c r="I92" s="67"/>
      <c r="J92" s="67"/>
      <c r="M92" s="91" t="str">
        <f ca="1">Database!F89</f>
        <v>I</v>
      </c>
      <c r="N92" s="79"/>
      <c r="O92" s="80"/>
    </row>
    <row r="93" spans="1:15">
      <c r="A93" s="84" t="str">
        <f ca="1">Database!E90</f>
        <v>Not installed</v>
      </c>
      <c r="B93" s="66"/>
      <c r="C93" s="66"/>
      <c r="D93" s="67"/>
      <c r="E93" s="67"/>
      <c r="F93" s="67"/>
      <c r="G93" s="67"/>
      <c r="H93" s="67"/>
      <c r="I93" s="67"/>
      <c r="J93" s="67"/>
      <c r="M93" s="91" t="str">
        <f ca="1">Database!F90</f>
        <v>X</v>
      </c>
      <c r="N93" s="79"/>
      <c r="O93" s="80"/>
    </row>
    <row r="94" spans="1:15">
      <c r="A94" s="84" t="str">
        <f ca="1">Database!E91</f>
        <v>Four 1 Gbps RJ45 SFP Transceivers 10/100BASE-TX/1000BASE-T Ethernet ports (Not CE marked) (Withdraw)</v>
      </c>
      <c r="B94" s="66"/>
      <c r="C94" s="66"/>
      <c r="D94" s="67"/>
      <c r="E94" s="67"/>
      <c r="F94" s="67"/>
      <c r="G94" s="67"/>
      <c r="H94" s="67"/>
      <c r="I94" s="67"/>
      <c r="J94" s="67"/>
      <c r="M94" s="91" t="str">
        <f ca="1">Database!F91</f>
        <v>J</v>
      </c>
      <c r="N94" s="79"/>
      <c r="O94" s="80"/>
    </row>
    <row r="95" spans="1:15">
      <c r="A95" s="84"/>
      <c r="B95" s="119"/>
      <c r="C95" s="119"/>
      <c r="D95" s="120"/>
      <c r="E95" s="120"/>
      <c r="F95" s="120"/>
      <c r="G95" s="120"/>
      <c r="H95" s="120"/>
      <c r="I95" s="120"/>
      <c r="J95" s="120"/>
      <c r="K95" s="120"/>
      <c r="L95" s="120"/>
      <c r="M95" s="120"/>
      <c r="N95" s="79"/>
      <c r="O95" s="80"/>
    </row>
    <row r="96" spans="1:15">
      <c r="A96" s="89" t="str">
        <f>Database!B93</f>
        <v>Firmware Version</v>
      </c>
      <c r="B96" s="66"/>
      <c r="C96" s="66"/>
      <c r="D96" s="67"/>
      <c r="E96" s="67"/>
      <c r="F96" s="67"/>
      <c r="G96" s="67"/>
      <c r="H96" s="67"/>
      <c r="I96" s="67"/>
      <c r="J96" s="67"/>
      <c r="N96" s="79"/>
      <c r="O96" s="80"/>
    </row>
    <row r="97" spans="1:15">
      <c r="A97" s="84" t="str">
        <f ca="1">Database!E94</f>
        <v>Latest available firmware - 06</v>
      </c>
      <c r="B97" s="66"/>
      <c r="C97" s="66"/>
      <c r="D97" s="67"/>
      <c r="E97" s="67"/>
      <c r="F97" s="67"/>
      <c r="G97" s="67"/>
      <c r="H97" s="67"/>
      <c r="I97" s="67"/>
      <c r="J97" s="67"/>
      <c r="N97" s="91" t="str">
        <f ca="1">Database!F94</f>
        <v>06</v>
      </c>
      <c r="O97" s="80"/>
    </row>
    <row r="98" spans="1:15" s="268" customFormat="1">
      <c r="A98" s="270" t="str">
        <f ca="1">Database!E95</f>
        <v>Firmware version number - 05</v>
      </c>
      <c r="B98" s="266"/>
      <c r="C98" s="266"/>
      <c r="D98" s="267"/>
      <c r="E98" s="267"/>
      <c r="F98" s="267"/>
      <c r="G98" s="267"/>
      <c r="H98" s="267"/>
      <c r="I98" s="267"/>
      <c r="J98" s="267"/>
      <c r="K98" s="267"/>
      <c r="L98" s="267"/>
      <c r="M98" s="267"/>
      <c r="N98" s="271" t="str">
        <f ca="1">Database!F95</f>
        <v>05</v>
      </c>
      <c r="O98" s="269"/>
    </row>
    <row r="99" spans="1:15">
      <c r="A99" s="84"/>
      <c r="B99" s="66"/>
      <c r="C99" s="66"/>
      <c r="D99" s="67"/>
      <c r="E99" s="67"/>
      <c r="F99" s="67"/>
      <c r="G99" s="67"/>
      <c r="H99" s="67"/>
      <c r="I99" s="67"/>
      <c r="J99" s="67"/>
      <c r="N99" s="67"/>
      <c r="O99" s="80"/>
    </row>
    <row r="100" spans="1:15">
      <c r="A100" s="89" t="str">
        <f>Database!B97</f>
        <v>Hardware Design Suffix</v>
      </c>
      <c r="B100" s="71"/>
      <c r="C100" s="71"/>
      <c r="D100" s="90"/>
      <c r="E100" s="77"/>
      <c r="F100" s="77"/>
      <c r="G100" s="77"/>
      <c r="H100" s="77"/>
      <c r="I100" s="77"/>
      <c r="J100" s="129"/>
      <c r="K100" s="130"/>
      <c r="L100" s="130"/>
      <c r="M100" s="130"/>
      <c r="N100" s="130"/>
      <c r="O100" s="80"/>
    </row>
    <row r="101" spans="1:15">
      <c r="A101" s="84" t="str">
        <f ca="1">Database!E98</f>
        <v>Standard hardware release</v>
      </c>
      <c r="B101" s="85"/>
      <c r="C101" s="85"/>
      <c r="D101" s="88"/>
      <c r="E101" s="78"/>
      <c r="F101" s="78"/>
      <c r="G101" s="78"/>
      <c r="H101" s="78"/>
      <c r="I101" s="78"/>
      <c r="J101" s="66"/>
      <c r="N101" s="68"/>
      <c r="O101" s="91" t="str">
        <f ca="1">Database!F98</f>
        <v>B</v>
      </c>
    </row>
    <row r="102" spans="1:15">
      <c r="A102" s="84" t="str">
        <f ca="1">Database!E99</f>
        <v>Alternate hardware release (Withdraw)</v>
      </c>
      <c r="B102" s="85"/>
      <c r="C102" s="85"/>
      <c r="D102" s="88"/>
      <c r="E102" s="78"/>
      <c r="F102" s="78"/>
      <c r="G102" s="78"/>
      <c r="H102" s="78"/>
      <c r="I102" s="78"/>
      <c r="J102" s="66"/>
      <c r="N102" s="68"/>
      <c r="O102" s="91" t="str">
        <f ca="1">Database!F99</f>
        <v>BL</v>
      </c>
    </row>
    <row r="103" spans="1:15">
      <c r="A103" s="131"/>
      <c r="B103" s="119"/>
      <c r="C103" s="119"/>
      <c r="D103" s="119"/>
      <c r="E103" s="119"/>
      <c r="F103" s="119"/>
      <c r="G103" s="119"/>
      <c r="H103" s="119"/>
      <c r="I103" s="119"/>
      <c r="J103" s="119"/>
      <c r="K103" s="119"/>
      <c r="L103" s="119"/>
      <c r="M103" s="119"/>
      <c r="N103" s="119"/>
      <c r="O103" s="236"/>
    </row>
  </sheetData>
  <sheetProtection password="C927" sheet="1" objects="1" scenarios="1"/>
  <mergeCells count="1">
    <mergeCell ref="B4:C4"/>
  </mergeCells>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3"/>
  <dimension ref="A1:W36"/>
  <sheetViews>
    <sheetView showGridLines="0" showRowColHeaders="0" zoomScaleNormal="100" workbookViewId="0">
      <pane ySplit="4" topLeftCell="A5" activePane="bottomLeft" state="frozen"/>
      <selection pane="bottomLeft"/>
    </sheetView>
  </sheetViews>
  <sheetFormatPr defaultRowHeight="14.25"/>
  <cols>
    <col min="1" max="1" width="4.5703125" style="28" customWidth="1"/>
    <col min="2" max="4" width="9.140625" style="28"/>
    <col min="5" max="5" width="85.7109375" style="28" customWidth="1"/>
    <col min="6" max="6" width="13.7109375" style="28" customWidth="1"/>
    <col min="7" max="7" width="4.5703125" style="65" customWidth="1"/>
    <col min="8" max="15" width="3.28515625" style="65" customWidth="1"/>
    <col min="16" max="16" width="5.85546875" style="65" bestFit="1" customWidth="1"/>
    <col min="17" max="17" width="5.85546875" style="65" customWidth="1"/>
    <col min="18" max="18" width="4" style="28" customWidth="1"/>
    <col min="19" max="20" width="3.5703125" style="28" hidden="1" customWidth="1"/>
    <col min="21" max="21" width="15.7109375" style="103" hidden="1" customWidth="1"/>
    <col min="22" max="22" width="4" style="28" hidden="1" customWidth="1"/>
    <col min="23" max="23" width="9.140625" style="103"/>
    <col min="24" max="16384" width="9.140625" style="28"/>
  </cols>
  <sheetData>
    <row r="1" spans="1:23" ht="21" thickBot="1">
      <c r="A1" s="275" t="str">
        <f>HLOOKUP(Language!$C$3,Language!$E$1:$Z533,78,FALSE)</f>
        <v>THIS CORTEC FILE HAS BEEN REPLACED BY THE S20 CORTEC FILE</v>
      </c>
    </row>
    <row r="2" spans="1:23" ht="18">
      <c r="A2" s="102" t="str">
        <f ca="1">Database!E2</f>
        <v>S2024G Modular Managed Ethernet Switch</v>
      </c>
      <c r="B2" s="25"/>
      <c r="C2" s="25"/>
      <c r="D2" s="25"/>
      <c r="E2" s="25"/>
      <c r="F2" s="25"/>
      <c r="G2" s="26"/>
      <c r="H2" s="26"/>
      <c r="I2" s="26"/>
      <c r="J2" s="26"/>
      <c r="K2" s="26"/>
      <c r="L2" s="26"/>
      <c r="M2" s="26"/>
      <c r="N2" s="26"/>
      <c r="O2" s="26"/>
      <c r="P2" s="26"/>
      <c r="Q2" s="26"/>
      <c r="R2" s="27"/>
      <c r="U2" s="156" t="str">
        <f>HLOOKUP(Language!$C$3,Language!$E$1:$Z501,46,FALSE)</f>
        <v>Material Cost</v>
      </c>
      <c r="V2" s="157"/>
      <c r="W2" s="158"/>
    </row>
    <row r="3" spans="1:23">
      <c r="A3" s="29"/>
      <c r="B3" s="30"/>
      <c r="C3" s="30"/>
      <c r="D3" s="30"/>
      <c r="E3" s="30"/>
      <c r="F3" s="73" t="s">
        <v>124</v>
      </c>
      <c r="G3" s="74">
        <v>7</v>
      </c>
      <c r="H3" s="75">
        <v>8</v>
      </c>
      <c r="I3" s="73">
        <v>9</v>
      </c>
      <c r="J3" s="74">
        <v>10</v>
      </c>
      <c r="K3" s="74">
        <v>11</v>
      </c>
      <c r="L3" s="74">
        <v>12</v>
      </c>
      <c r="M3" s="74">
        <v>13</v>
      </c>
      <c r="N3" s="74">
        <v>14</v>
      </c>
      <c r="O3" s="74">
        <v>15</v>
      </c>
      <c r="P3" s="74" t="s">
        <v>115</v>
      </c>
      <c r="Q3" s="74" t="s">
        <v>116</v>
      </c>
      <c r="R3" s="31"/>
      <c r="U3" s="159">
        <f ca="1">SUM(U4:U502)</f>
        <v>0</v>
      </c>
      <c r="V3" s="31"/>
      <c r="W3" s="105"/>
    </row>
    <row r="4" spans="1:23" s="37" customFormat="1" ht="18" customHeight="1">
      <c r="A4" s="32"/>
      <c r="B4" s="33"/>
      <c r="C4" s="33"/>
      <c r="D4" s="33"/>
      <c r="E4" s="34"/>
      <c r="F4" s="185" t="str">
        <f>Database!E3</f>
        <v>S2024G</v>
      </c>
      <c r="G4" s="35">
        <f ca="1">G6</f>
        <v>1</v>
      </c>
      <c r="H4" s="35">
        <f ca="1">G8</f>
        <v>1</v>
      </c>
      <c r="I4" s="35" t="str">
        <f ca="1">G10</f>
        <v>P</v>
      </c>
      <c r="J4" s="35" t="str">
        <f ca="1">G12</f>
        <v>M</v>
      </c>
      <c r="K4" s="35" t="str">
        <f ca="1">G14</f>
        <v>A</v>
      </c>
      <c r="L4" s="35" t="str">
        <f ca="1">G16</f>
        <v>X</v>
      </c>
      <c r="M4" s="35" t="str">
        <f ca="1">G18</f>
        <v>X</v>
      </c>
      <c r="N4" s="123" t="str">
        <f ca="1">G20</f>
        <v>X</v>
      </c>
      <c r="O4" s="117" t="str">
        <f ca="1">G22</f>
        <v>H</v>
      </c>
      <c r="P4" s="117" t="str">
        <f ca="1">G24</f>
        <v>06</v>
      </c>
      <c r="Q4" s="117" t="str">
        <f ca="1">G26</f>
        <v>B</v>
      </c>
      <c r="R4" s="36"/>
      <c r="U4" s="159">
        <f ca="1">Database!G2</f>
        <v>0</v>
      </c>
      <c r="V4" s="36"/>
      <c r="W4" s="105"/>
    </row>
    <row r="5" spans="1:23" s="37" customFormat="1" ht="18" customHeight="1">
      <c r="A5" s="38" t="str">
        <f>Database!B5</f>
        <v>Power Supply 1</v>
      </c>
      <c r="B5" s="39"/>
      <c r="C5" s="39"/>
      <c r="D5" s="39"/>
      <c r="E5" s="39"/>
      <c r="F5" s="40"/>
      <c r="G5" s="48"/>
      <c r="H5" s="106"/>
      <c r="I5" s="107"/>
      <c r="J5" s="41"/>
      <c r="K5" s="106"/>
      <c r="L5" s="107"/>
      <c r="M5" s="126" t="s">
        <v>84</v>
      </c>
      <c r="N5" s="106"/>
      <c r="O5" s="118"/>
      <c r="P5" s="106"/>
      <c r="Q5" s="107"/>
      <c r="R5" s="36"/>
      <c r="U5" s="159"/>
      <c r="V5" s="31"/>
      <c r="W5" s="105"/>
    </row>
    <row r="6" spans="1:23" s="37" customFormat="1" ht="24" customHeight="1">
      <c r="A6" s="42"/>
      <c r="B6" s="39"/>
      <c r="C6" s="39"/>
      <c r="D6" s="39"/>
      <c r="E6" s="39"/>
      <c r="F6" s="40"/>
      <c r="G6" s="35">
        <f ca="1">Database!F5</f>
        <v>1</v>
      </c>
      <c r="H6" s="106"/>
      <c r="I6" s="107"/>
      <c r="J6" s="41"/>
      <c r="K6" s="106"/>
      <c r="L6" s="107"/>
      <c r="M6" s="127" t="s">
        <v>84</v>
      </c>
      <c r="N6" s="106"/>
      <c r="O6" s="107"/>
      <c r="P6" s="106"/>
      <c r="Q6" s="107"/>
      <c r="R6" s="36"/>
      <c r="U6" s="159"/>
      <c r="V6" s="31"/>
      <c r="W6" s="104" t="str">
        <f ca="1">IF(Database!H5="N",HLOOKUP(Language!$C$3,Language!$E$1:$Z501,47,FALSE),"")</f>
        <v/>
      </c>
    </row>
    <row r="7" spans="1:23" ht="18" customHeight="1">
      <c r="A7" s="38" t="str">
        <f>Database!B9</f>
        <v>Power Supply 2</v>
      </c>
      <c r="B7" s="43"/>
      <c r="C7" s="44"/>
      <c r="D7" s="44"/>
      <c r="E7" s="44"/>
      <c r="F7" s="44"/>
      <c r="G7" s="186"/>
      <c r="H7" s="106"/>
      <c r="I7" s="107"/>
      <c r="J7" s="41"/>
      <c r="K7" s="106"/>
      <c r="L7" s="107"/>
      <c r="M7" s="127" t="s">
        <v>84</v>
      </c>
      <c r="N7" s="106"/>
      <c r="O7" s="107"/>
      <c r="P7" s="106"/>
      <c r="Q7" s="107"/>
      <c r="R7" s="31"/>
      <c r="U7" s="159"/>
      <c r="V7" s="31"/>
      <c r="W7" s="105"/>
    </row>
    <row r="8" spans="1:23" ht="36" customHeight="1">
      <c r="A8" s="46"/>
      <c r="B8" s="44"/>
      <c r="C8" s="44"/>
      <c r="D8" s="47"/>
      <c r="E8" s="44"/>
      <c r="F8" s="44"/>
      <c r="G8" s="35">
        <f ca="1">Database!F9</f>
        <v>1</v>
      </c>
      <c r="H8" s="109"/>
      <c r="I8" s="107"/>
      <c r="J8" s="41"/>
      <c r="K8" s="106"/>
      <c r="L8" s="107"/>
      <c r="M8" s="127" t="s">
        <v>84</v>
      </c>
      <c r="N8" s="106"/>
      <c r="O8" s="107"/>
      <c r="P8" s="106"/>
      <c r="Q8" s="107"/>
      <c r="R8" s="31"/>
      <c r="U8" s="159"/>
      <c r="V8" s="31"/>
      <c r="W8" s="104" t="str">
        <f ca="1">IF(Database!H9="N",HLOOKUP(Language!$C$3,Language!$E$1:$Z501,47,FALSE),"")</f>
        <v/>
      </c>
    </row>
    <row r="9" spans="1:23" ht="18" customHeight="1">
      <c r="A9" s="38" t="str">
        <f>Database!B14</f>
        <v>Mounting Options</v>
      </c>
      <c r="B9" s="44"/>
      <c r="C9" s="44"/>
      <c r="D9" s="44"/>
      <c r="E9" s="44"/>
      <c r="F9" s="44"/>
      <c r="G9" s="187"/>
      <c r="H9" s="113"/>
      <c r="I9" s="107"/>
      <c r="J9" s="41"/>
      <c r="K9" s="106"/>
      <c r="L9" s="107"/>
      <c r="M9" s="127" t="s">
        <v>84</v>
      </c>
      <c r="N9" s="106"/>
      <c r="O9" s="107"/>
      <c r="P9" s="106"/>
      <c r="Q9" s="107"/>
      <c r="R9" s="31"/>
      <c r="U9" s="159"/>
      <c r="V9" s="31"/>
      <c r="W9" s="105"/>
    </row>
    <row r="10" spans="1:23" ht="24" customHeight="1">
      <c r="A10" s="46"/>
      <c r="B10" s="44"/>
      <c r="C10" s="44"/>
      <c r="D10" s="44"/>
      <c r="E10" s="44"/>
      <c r="F10" s="44"/>
      <c r="G10" s="35" t="str">
        <f ca="1">Database!F14</f>
        <v>P</v>
      </c>
      <c r="H10" s="114"/>
      <c r="I10" s="112"/>
      <c r="J10" s="41"/>
      <c r="K10" s="106"/>
      <c r="L10" s="107"/>
      <c r="M10" s="127" t="s">
        <v>84</v>
      </c>
      <c r="N10" s="106"/>
      <c r="O10" s="107"/>
      <c r="P10" s="106"/>
      <c r="Q10" s="107"/>
      <c r="R10" s="31"/>
      <c r="U10" s="159"/>
      <c r="V10" s="31"/>
      <c r="W10" s="104" t="str">
        <f ca="1">IF(Database!H14="N",HLOOKUP(Language!$C$3,Language!$E$1:$Z501,47,FALSE),"")</f>
        <v/>
      </c>
    </row>
    <row r="11" spans="1:23" ht="18" customHeight="1">
      <c r="A11" s="49" t="str">
        <f>Database!B18</f>
        <v>Interface Module 1</v>
      </c>
      <c r="B11" s="50"/>
      <c r="C11" s="44"/>
      <c r="D11" s="44"/>
      <c r="E11" s="44"/>
      <c r="F11" s="44"/>
      <c r="G11" s="188"/>
      <c r="H11" s="45"/>
      <c r="I11" s="45"/>
      <c r="J11" s="41"/>
      <c r="K11" s="106"/>
      <c r="L11" s="107"/>
      <c r="M11" s="127" t="s">
        <v>84</v>
      </c>
      <c r="N11" s="106"/>
      <c r="O11" s="107"/>
      <c r="P11" s="106"/>
      <c r="Q11" s="107"/>
      <c r="R11" s="31"/>
      <c r="U11" s="159"/>
      <c r="V11" s="31"/>
      <c r="W11" s="105"/>
    </row>
    <row r="12" spans="1:23" ht="135" customHeight="1">
      <c r="A12" s="46"/>
      <c r="B12" s="51"/>
      <c r="C12" s="52"/>
      <c r="D12" s="52"/>
      <c r="E12" s="52"/>
      <c r="F12" s="53"/>
      <c r="G12" s="35" t="str">
        <f ca="1">Database!F18</f>
        <v>M</v>
      </c>
      <c r="H12" s="115"/>
      <c r="I12" s="115"/>
      <c r="J12" s="111"/>
      <c r="K12" s="106"/>
      <c r="L12" s="107"/>
      <c r="M12" s="127" t="s">
        <v>84</v>
      </c>
      <c r="N12" s="106"/>
      <c r="O12" s="107"/>
      <c r="P12" s="106"/>
      <c r="Q12" s="107"/>
      <c r="R12" s="31"/>
      <c r="U12" s="159"/>
      <c r="V12" s="31"/>
      <c r="W12" s="104" t="str">
        <f ca="1">IF(Database!H18="N",HLOOKUP(Language!$C$3,Language!$E$1:$Z501,47,FALSE),"")</f>
        <v/>
      </c>
    </row>
    <row r="13" spans="1:23" ht="18" customHeight="1">
      <c r="A13" s="38" t="str">
        <f>Database!B33</f>
        <v>Interface Module 2</v>
      </c>
      <c r="B13" s="51"/>
      <c r="C13" s="54"/>
      <c r="D13" s="54"/>
      <c r="E13" s="54"/>
      <c r="F13" s="55"/>
      <c r="G13" s="189"/>
      <c r="H13" s="108"/>
      <c r="I13" s="108"/>
      <c r="J13" s="108"/>
      <c r="K13" s="106"/>
      <c r="L13" s="107"/>
      <c r="M13" s="127" t="s">
        <v>84</v>
      </c>
      <c r="N13" s="106"/>
      <c r="O13" s="107"/>
      <c r="P13" s="106"/>
      <c r="Q13" s="107"/>
      <c r="R13" s="31"/>
      <c r="U13" s="159"/>
      <c r="V13" s="31"/>
      <c r="W13" s="105"/>
    </row>
    <row r="14" spans="1:23" ht="108" customHeight="1">
      <c r="A14" s="46"/>
      <c r="B14" s="56"/>
      <c r="C14" s="55"/>
      <c r="D14" s="55"/>
      <c r="E14" s="55"/>
      <c r="F14" s="57"/>
      <c r="G14" s="35" t="str">
        <f ca="1">Database!F33</f>
        <v>A</v>
      </c>
      <c r="H14" s="110"/>
      <c r="I14" s="110"/>
      <c r="J14" s="110"/>
      <c r="K14" s="109"/>
      <c r="L14" s="107"/>
      <c r="M14" s="127" t="s">
        <v>84</v>
      </c>
      <c r="N14" s="106"/>
      <c r="O14" s="107"/>
      <c r="P14" s="106"/>
      <c r="Q14" s="107"/>
      <c r="R14" s="31"/>
      <c r="U14" s="159"/>
      <c r="V14" s="31"/>
      <c r="W14" s="104" t="str">
        <f ca="1">IF(Database!H33="N",HLOOKUP(Language!$C$3,Language!$E$1:$Z501,47,FALSE),"")</f>
        <v/>
      </c>
    </row>
    <row r="15" spans="1:23" ht="18" customHeight="1">
      <c r="A15" s="38" t="str">
        <f>Database!B45</f>
        <v>Interface Module 3</v>
      </c>
      <c r="B15" s="51"/>
      <c r="C15" s="58"/>
      <c r="D15" s="54"/>
      <c r="E15" s="54"/>
      <c r="F15" s="55"/>
      <c r="G15" s="187"/>
      <c r="H15" s="113"/>
      <c r="I15" s="113"/>
      <c r="J15" s="113"/>
      <c r="K15" s="113"/>
      <c r="L15" s="107"/>
      <c r="M15" s="127" t="s">
        <v>84</v>
      </c>
      <c r="N15" s="106"/>
      <c r="O15" s="107"/>
      <c r="P15" s="106"/>
      <c r="Q15" s="107"/>
      <c r="R15" s="31"/>
      <c r="U15" s="159"/>
      <c r="V15" s="31"/>
      <c r="W15" s="105"/>
    </row>
    <row r="16" spans="1:23" ht="107.25" customHeight="1">
      <c r="A16" s="46"/>
      <c r="B16" s="56"/>
      <c r="C16" s="59"/>
      <c r="D16" s="55"/>
      <c r="E16" s="55"/>
      <c r="F16" s="57"/>
      <c r="G16" s="35" t="str">
        <f ca="1">Database!F45</f>
        <v>X</v>
      </c>
      <c r="H16" s="114"/>
      <c r="I16" s="116"/>
      <c r="J16" s="116"/>
      <c r="K16" s="116"/>
      <c r="L16" s="112"/>
      <c r="M16" s="127" t="s">
        <v>84</v>
      </c>
      <c r="N16" s="106"/>
      <c r="O16" s="107"/>
      <c r="P16" s="106"/>
      <c r="Q16" s="107"/>
      <c r="R16" s="31"/>
      <c r="U16" s="159"/>
      <c r="V16" s="31"/>
      <c r="W16" s="104" t="str">
        <f ca="1">IF(Database!H45="N",HLOOKUP(Language!$C$3,Language!$E$1:$Z501,47,FALSE),"")</f>
        <v/>
      </c>
    </row>
    <row r="17" spans="1:23" ht="18" customHeight="1">
      <c r="A17" s="38" t="str">
        <f>Database!B57</f>
        <v>Interface Module 4</v>
      </c>
      <c r="B17" s="51"/>
      <c r="C17" s="58"/>
      <c r="D17" s="54"/>
      <c r="E17" s="54"/>
      <c r="F17" s="55"/>
      <c r="G17" s="190" t="s">
        <v>84</v>
      </c>
      <c r="H17" s="125" t="s">
        <v>84</v>
      </c>
      <c r="I17" s="125" t="s">
        <v>84</v>
      </c>
      <c r="J17" s="125" t="s">
        <v>84</v>
      </c>
      <c r="K17" s="125" t="s">
        <v>84</v>
      </c>
      <c r="L17" s="125" t="s">
        <v>84</v>
      </c>
      <c r="M17" s="127" t="s">
        <v>84</v>
      </c>
      <c r="N17" s="106"/>
      <c r="O17" s="107"/>
      <c r="P17" s="106"/>
      <c r="Q17" s="107"/>
      <c r="R17" s="31"/>
      <c r="U17" s="159"/>
      <c r="V17" s="31"/>
      <c r="W17" s="105"/>
    </row>
    <row r="18" spans="1:23" ht="105.75" customHeight="1">
      <c r="A18" s="46"/>
      <c r="B18" s="56"/>
      <c r="C18" s="59"/>
      <c r="D18" s="55"/>
      <c r="E18" s="55"/>
      <c r="F18" s="55"/>
      <c r="G18" s="35" t="str">
        <f ca="1">Database!F57</f>
        <v>X</v>
      </c>
      <c r="H18" s="124" t="s">
        <v>84</v>
      </c>
      <c r="I18" s="124" t="s">
        <v>84</v>
      </c>
      <c r="J18" s="124" t="s">
        <v>84</v>
      </c>
      <c r="K18" s="124" t="s">
        <v>84</v>
      </c>
      <c r="L18" s="124" t="s">
        <v>84</v>
      </c>
      <c r="M18" s="128" t="s">
        <v>84</v>
      </c>
      <c r="N18" s="106"/>
      <c r="O18" s="107"/>
      <c r="P18" s="106"/>
      <c r="Q18" s="107"/>
      <c r="R18" s="31"/>
      <c r="U18" s="159"/>
      <c r="V18" s="31"/>
      <c r="W18" s="104" t="str">
        <f ca="1">IF(Database!H57="N",HLOOKUP(Language!$C$3,Language!$E$1:$Z501,47,FALSE),"")</f>
        <v/>
      </c>
    </row>
    <row r="19" spans="1:23" ht="18" customHeight="1">
      <c r="A19" s="38" t="str">
        <f>Database!B69</f>
        <v>Interface Module 5</v>
      </c>
      <c r="B19" s="51"/>
      <c r="C19" s="58"/>
      <c r="D19" s="54"/>
      <c r="E19" s="54"/>
      <c r="F19" s="55"/>
      <c r="G19" s="191"/>
      <c r="H19" s="108"/>
      <c r="I19" s="108"/>
      <c r="J19" s="108"/>
      <c r="K19" s="108"/>
      <c r="L19" s="108"/>
      <c r="M19" s="108"/>
      <c r="N19" s="106"/>
      <c r="O19" s="107"/>
      <c r="P19" s="106"/>
      <c r="Q19" s="107"/>
      <c r="R19" s="31"/>
      <c r="U19" s="159"/>
      <c r="V19" s="31"/>
      <c r="W19" s="105"/>
    </row>
    <row r="20" spans="1:23" ht="108.75" customHeight="1">
      <c r="A20" s="46"/>
      <c r="B20" s="56"/>
      <c r="C20" s="59"/>
      <c r="D20" s="55"/>
      <c r="E20" s="55"/>
      <c r="F20" s="55"/>
      <c r="G20" s="35" t="str">
        <f ca="1">Database!F69</f>
        <v>X</v>
      </c>
      <c r="H20" s="110"/>
      <c r="I20" s="110"/>
      <c r="J20" s="110"/>
      <c r="K20" s="110"/>
      <c r="L20" s="110"/>
      <c r="M20" s="110"/>
      <c r="N20" s="109"/>
      <c r="O20" s="107"/>
      <c r="P20" s="106"/>
      <c r="Q20" s="107"/>
      <c r="R20" s="31"/>
      <c r="U20" s="159"/>
      <c r="V20" s="31"/>
      <c r="W20" s="104" t="str">
        <f ca="1">IF(Database!H69="N",HLOOKUP(Language!$C$3,Language!$E$1:$Z501,47,FALSE),"")</f>
        <v/>
      </c>
    </row>
    <row r="21" spans="1:23" ht="18" customHeight="1">
      <c r="A21" s="60" t="str">
        <f>Database!B81</f>
        <v>Interface Module 6</v>
      </c>
      <c r="B21" s="56"/>
      <c r="C21" s="59"/>
      <c r="D21" s="55"/>
      <c r="E21" s="55"/>
      <c r="F21" s="55"/>
      <c r="G21" s="187"/>
      <c r="H21" s="113"/>
      <c r="I21" s="113"/>
      <c r="J21" s="113"/>
      <c r="K21" s="113"/>
      <c r="L21" s="113"/>
      <c r="M21" s="113"/>
      <c r="N21" s="113"/>
      <c r="O21" s="107"/>
      <c r="P21" s="106"/>
      <c r="Q21" s="107"/>
      <c r="R21" s="31"/>
      <c r="U21" s="159"/>
      <c r="V21" s="31"/>
      <c r="W21" s="105"/>
    </row>
    <row r="22" spans="1:23" ht="107.25" customHeight="1">
      <c r="A22" s="38"/>
      <c r="B22" s="56"/>
      <c r="C22" s="59"/>
      <c r="D22" s="55"/>
      <c r="E22" s="55"/>
      <c r="F22" s="55"/>
      <c r="G22" s="35" t="str">
        <f ca="1">Database!F81</f>
        <v>H</v>
      </c>
      <c r="H22" s="116"/>
      <c r="I22" s="116"/>
      <c r="J22" s="116"/>
      <c r="K22" s="116"/>
      <c r="L22" s="116"/>
      <c r="M22" s="116"/>
      <c r="N22" s="116"/>
      <c r="O22" s="112"/>
      <c r="P22" s="106"/>
      <c r="Q22" s="107"/>
      <c r="R22" s="31"/>
      <c r="U22" s="159"/>
      <c r="V22" s="31"/>
      <c r="W22" s="104" t="str">
        <f ca="1">IF(Database!H81="N",HLOOKUP(Language!$C$3,Language!$E$1:$Z501,47,FALSE),"")</f>
        <v/>
      </c>
    </row>
    <row r="23" spans="1:23" ht="18" customHeight="1">
      <c r="A23" s="60" t="str">
        <f>Database!B97</f>
        <v>Hardware Design Suffix</v>
      </c>
      <c r="B23" s="56"/>
      <c r="C23" s="59"/>
      <c r="D23" s="55"/>
      <c r="E23" s="55"/>
      <c r="F23" s="55"/>
      <c r="G23" s="108"/>
      <c r="H23" s="108"/>
      <c r="I23" s="108"/>
      <c r="J23" s="108"/>
      <c r="K23" s="108"/>
      <c r="L23" s="108"/>
      <c r="M23" s="108"/>
      <c r="N23" s="108"/>
      <c r="O23" s="108"/>
      <c r="P23" s="106"/>
      <c r="Q23" s="107"/>
      <c r="R23" s="31"/>
      <c r="U23" s="159"/>
      <c r="V23" s="31"/>
      <c r="W23" s="105"/>
    </row>
    <row r="24" spans="1:23" ht="21.75" customHeight="1">
      <c r="A24" s="38"/>
      <c r="B24" s="56"/>
      <c r="C24" s="59"/>
      <c r="D24" s="55"/>
      <c r="E24" s="55"/>
      <c r="F24" s="55"/>
      <c r="G24" s="35" t="str">
        <f ca="1">Database!F93</f>
        <v>06</v>
      </c>
      <c r="H24" s="110"/>
      <c r="I24" s="110"/>
      <c r="J24" s="110"/>
      <c r="K24" s="110"/>
      <c r="L24" s="110"/>
      <c r="M24" s="110"/>
      <c r="N24" s="110"/>
      <c r="O24" s="110"/>
      <c r="P24" s="109"/>
      <c r="Q24" s="107"/>
      <c r="R24" s="31"/>
      <c r="U24" s="159"/>
      <c r="V24" s="31"/>
      <c r="W24" s="104" t="str">
        <f ca="1">IF(Database!H93="N",HLOOKUP(Language!$C$3,Language!$E$1:$Z501,47,FALSE),"")</f>
        <v/>
      </c>
    </row>
    <row r="25" spans="1:23" ht="18" customHeight="1">
      <c r="A25" s="60" t="str">
        <f>Database!B97</f>
        <v>Hardware Design Suffix</v>
      </c>
      <c r="B25" s="56"/>
      <c r="C25" s="59"/>
      <c r="D25" s="55"/>
      <c r="E25" s="55"/>
      <c r="F25" s="55"/>
      <c r="G25" s="113"/>
      <c r="H25" s="113"/>
      <c r="I25" s="113"/>
      <c r="J25" s="113"/>
      <c r="K25" s="113"/>
      <c r="L25" s="113"/>
      <c r="M25" s="113"/>
      <c r="N25" s="113"/>
      <c r="O25" s="113"/>
      <c r="P25" s="113"/>
      <c r="Q25" s="107"/>
      <c r="R25" s="31"/>
      <c r="U25" s="159"/>
      <c r="V25" s="31"/>
      <c r="W25" s="104"/>
    </row>
    <row r="26" spans="1:23" ht="33" customHeight="1">
      <c r="A26" s="38"/>
      <c r="B26" s="56"/>
      <c r="C26" s="59"/>
      <c r="D26" s="55"/>
      <c r="E26" s="55"/>
      <c r="F26" s="55"/>
      <c r="G26" s="35" t="str">
        <f ca="1">Database!F97</f>
        <v>B</v>
      </c>
      <c r="H26" s="116"/>
      <c r="I26" s="116"/>
      <c r="J26" s="116"/>
      <c r="K26" s="116"/>
      <c r="L26" s="116"/>
      <c r="M26" s="116"/>
      <c r="N26" s="116"/>
      <c r="O26" s="116"/>
      <c r="P26" s="116"/>
      <c r="Q26" s="112"/>
      <c r="R26" s="31"/>
      <c r="U26" s="159"/>
      <c r="V26" s="31"/>
      <c r="W26" s="104" t="str">
        <f ca="1">IF(Database!H97="N",HLOOKUP(Language!$C$3,Language!$E$1:$Z503,47,FALSE),"")</f>
        <v/>
      </c>
    </row>
    <row r="27" spans="1:23" ht="17.25" customHeight="1" thickBot="1">
      <c r="A27" s="61"/>
      <c r="B27" s="62"/>
      <c r="C27" s="62"/>
      <c r="D27" s="62"/>
      <c r="E27" s="62"/>
      <c r="F27" s="62"/>
      <c r="G27" s="63"/>
      <c r="H27" s="63"/>
      <c r="I27" s="63"/>
      <c r="J27" s="63"/>
      <c r="K27" s="63"/>
      <c r="L27" s="63"/>
      <c r="M27" s="63"/>
      <c r="N27" s="63"/>
      <c r="O27" s="63"/>
      <c r="P27" s="63"/>
      <c r="Q27" s="63"/>
      <c r="R27" s="64"/>
      <c r="U27" s="160"/>
      <c r="V27" s="64"/>
      <c r="W27" s="105"/>
    </row>
    <row r="28" spans="1:23">
      <c r="U28" s="105"/>
      <c r="W28" s="105"/>
    </row>
    <row r="29" spans="1:23">
      <c r="U29" s="105"/>
      <c r="W29" s="105"/>
    </row>
    <row r="30" spans="1:23">
      <c r="U30" s="105"/>
      <c r="W30" s="105"/>
    </row>
    <row r="31" spans="1:23">
      <c r="U31" s="105"/>
      <c r="W31" s="105"/>
    </row>
    <row r="32" spans="1:23">
      <c r="U32" s="105"/>
      <c r="W32" s="105"/>
    </row>
    <row r="33" spans="21:23">
      <c r="U33" s="105"/>
      <c r="W33" s="105"/>
    </row>
    <row r="34" spans="21:23">
      <c r="U34" s="105"/>
      <c r="W34" s="105"/>
    </row>
    <row r="35" spans="21:23">
      <c r="U35" s="105"/>
      <c r="W35" s="105"/>
    </row>
    <row r="36" spans="21:23">
      <c r="W36" s="105"/>
    </row>
  </sheetData>
  <sheetProtection password="C927" sheet="1" objects="1" scenarios="1"/>
  <pageMargins left="0.511811024" right="0.511811024" top="0.78740157499999996" bottom="0.78740157499999996" header="0.31496062000000002" footer="0.3149606200000000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List Box 1">
              <controlPr defaultSize="0" autoLine="0" autoPict="0">
                <anchor moveWithCells="1">
                  <from>
                    <xdr:col>0</xdr:col>
                    <xdr:colOff>0</xdr:colOff>
                    <xdr:row>7</xdr:row>
                    <xdr:rowOff>0</xdr:rowOff>
                  </from>
                  <to>
                    <xdr:col>6</xdr:col>
                    <xdr:colOff>0</xdr:colOff>
                    <xdr:row>8</xdr:row>
                    <xdr:rowOff>0</xdr:rowOff>
                  </to>
                </anchor>
              </controlPr>
            </control>
          </mc:Choice>
        </mc:AlternateContent>
        <mc:AlternateContent xmlns:mc="http://schemas.openxmlformats.org/markup-compatibility/2006">
          <mc:Choice Requires="x14">
            <control shapeId="4098" r:id="rId5" name="List Box 2">
              <controlPr defaultSize="0" autoLine="0" autoPict="0">
                <anchor moveWithCells="1">
                  <from>
                    <xdr:col>0</xdr:col>
                    <xdr:colOff>0</xdr:colOff>
                    <xdr:row>9</xdr:row>
                    <xdr:rowOff>0</xdr:rowOff>
                  </from>
                  <to>
                    <xdr:col>6</xdr:col>
                    <xdr:colOff>0</xdr:colOff>
                    <xdr:row>10</xdr:row>
                    <xdr:rowOff>0</xdr:rowOff>
                  </to>
                </anchor>
              </controlPr>
            </control>
          </mc:Choice>
        </mc:AlternateContent>
        <mc:AlternateContent xmlns:mc="http://schemas.openxmlformats.org/markup-compatibility/2006">
          <mc:Choice Requires="x14">
            <control shapeId="4099" r:id="rId6" name="List Box 3">
              <controlPr defaultSize="0" autoLine="0" autoPict="0">
                <anchor moveWithCells="1">
                  <from>
                    <xdr:col>0</xdr:col>
                    <xdr:colOff>0</xdr:colOff>
                    <xdr:row>5</xdr:row>
                    <xdr:rowOff>0</xdr:rowOff>
                  </from>
                  <to>
                    <xdr:col>6</xdr:col>
                    <xdr:colOff>0</xdr:colOff>
                    <xdr:row>6</xdr:row>
                    <xdr:rowOff>0</xdr:rowOff>
                  </to>
                </anchor>
              </controlPr>
            </control>
          </mc:Choice>
        </mc:AlternateContent>
        <mc:AlternateContent xmlns:mc="http://schemas.openxmlformats.org/markup-compatibility/2006">
          <mc:Choice Requires="x14">
            <control shapeId="4100" r:id="rId7" name="List Box 4">
              <controlPr defaultSize="0" autoLine="0" autoPict="0">
                <anchor moveWithCells="1">
                  <from>
                    <xdr:col>0</xdr:col>
                    <xdr:colOff>0</xdr:colOff>
                    <xdr:row>11</xdr:row>
                    <xdr:rowOff>0</xdr:rowOff>
                  </from>
                  <to>
                    <xdr:col>6</xdr:col>
                    <xdr:colOff>0</xdr:colOff>
                    <xdr:row>12</xdr:row>
                    <xdr:rowOff>0</xdr:rowOff>
                  </to>
                </anchor>
              </controlPr>
            </control>
          </mc:Choice>
        </mc:AlternateContent>
        <mc:AlternateContent xmlns:mc="http://schemas.openxmlformats.org/markup-compatibility/2006">
          <mc:Choice Requires="x14">
            <control shapeId="4101" r:id="rId8" name="List Box 5">
              <controlPr defaultSize="0" autoLine="0" autoPict="0">
                <anchor moveWithCells="1">
                  <from>
                    <xdr:col>0</xdr:col>
                    <xdr:colOff>9525</xdr:colOff>
                    <xdr:row>13</xdr:row>
                    <xdr:rowOff>0</xdr:rowOff>
                  </from>
                  <to>
                    <xdr:col>6</xdr:col>
                    <xdr:colOff>0</xdr:colOff>
                    <xdr:row>14</xdr:row>
                    <xdr:rowOff>9525</xdr:rowOff>
                  </to>
                </anchor>
              </controlPr>
            </control>
          </mc:Choice>
        </mc:AlternateContent>
        <mc:AlternateContent xmlns:mc="http://schemas.openxmlformats.org/markup-compatibility/2006">
          <mc:Choice Requires="x14">
            <control shapeId="4102" r:id="rId9" name="List Box 6">
              <controlPr defaultSize="0" autoLine="0" autoPict="0">
                <anchor moveWithCells="1">
                  <from>
                    <xdr:col>0</xdr:col>
                    <xdr:colOff>0</xdr:colOff>
                    <xdr:row>15</xdr:row>
                    <xdr:rowOff>0</xdr:rowOff>
                  </from>
                  <to>
                    <xdr:col>6</xdr:col>
                    <xdr:colOff>0</xdr:colOff>
                    <xdr:row>16</xdr:row>
                    <xdr:rowOff>0</xdr:rowOff>
                  </to>
                </anchor>
              </controlPr>
            </control>
          </mc:Choice>
        </mc:AlternateContent>
        <mc:AlternateContent xmlns:mc="http://schemas.openxmlformats.org/markup-compatibility/2006">
          <mc:Choice Requires="x14">
            <control shapeId="4108" r:id="rId10" name="List Box 12">
              <controlPr defaultSize="0" autoLine="0" autoPict="0">
                <anchor moveWithCells="1">
                  <from>
                    <xdr:col>0</xdr:col>
                    <xdr:colOff>0</xdr:colOff>
                    <xdr:row>17</xdr:row>
                    <xdr:rowOff>0</xdr:rowOff>
                  </from>
                  <to>
                    <xdr:col>6</xdr:col>
                    <xdr:colOff>0</xdr:colOff>
                    <xdr:row>18</xdr:row>
                    <xdr:rowOff>0</xdr:rowOff>
                  </to>
                </anchor>
              </controlPr>
            </control>
          </mc:Choice>
        </mc:AlternateContent>
        <mc:AlternateContent xmlns:mc="http://schemas.openxmlformats.org/markup-compatibility/2006">
          <mc:Choice Requires="x14">
            <control shapeId="4119" r:id="rId11" name="List Box 23">
              <controlPr defaultSize="0" autoLine="0" autoPict="0">
                <anchor moveWithCells="1">
                  <from>
                    <xdr:col>0</xdr:col>
                    <xdr:colOff>0</xdr:colOff>
                    <xdr:row>19</xdr:row>
                    <xdr:rowOff>0</xdr:rowOff>
                  </from>
                  <to>
                    <xdr:col>6</xdr:col>
                    <xdr:colOff>0</xdr:colOff>
                    <xdr:row>20</xdr:row>
                    <xdr:rowOff>0</xdr:rowOff>
                  </to>
                </anchor>
              </controlPr>
            </control>
          </mc:Choice>
        </mc:AlternateContent>
        <mc:AlternateContent xmlns:mc="http://schemas.openxmlformats.org/markup-compatibility/2006">
          <mc:Choice Requires="x14">
            <control shapeId="4120" r:id="rId12" name="List Box 24">
              <controlPr defaultSize="0" autoLine="0" autoPict="0">
                <anchor moveWithCells="1">
                  <from>
                    <xdr:col>0</xdr:col>
                    <xdr:colOff>0</xdr:colOff>
                    <xdr:row>23</xdr:row>
                    <xdr:rowOff>0</xdr:rowOff>
                  </from>
                  <to>
                    <xdr:col>6</xdr:col>
                    <xdr:colOff>0</xdr:colOff>
                    <xdr:row>24</xdr:row>
                    <xdr:rowOff>0</xdr:rowOff>
                  </to>
                </anchor>
              </controlPr>
            </control>
          </mc:Choice>
        </mc:AlternateContent>
        <mc:AlternateContent xmlns:mc="http://schemas.openxmlformats.org/markup-compatibility/2006">
          <mc:Choice Requires="x14">
            <control shapeId="4123" r:id="rId13" name="List Box 27">
              <controlPr defaultSize="0" autoLine="0" autoPict="0">
                <anchor moveWithCells="1">
                  <from>
                    <xdr:col>0</xdr:col>
                    <xdr:colOff>0</xdr:colOff>
                    <xdr:row>21</xdr:row>
                    <xdr:rowOff>0</xdr:rowOff>
                  </from>
                  <to>
                    <xdr:col>6</xdr:col>
                    <xdr:colOff>0</xdr:colOff>
                    <xdr:row>22</xdr:row>
                    <xdr:rowOff>0</xdr:rowOff>
                  </to>
                </anchor>
              </controlPr>
            </control>
          </mc:Choice>
        </mc:AlternateContent>
        <mc:AlternateContent xmlns:mc="http://schemas.openxmlformats.org/markup-compatibility/2006">
          <mc:Choice Requires="x14">
            <control shapeId="4127" r:id="rId14" name="List Box 31">
              <controlPr defaultSize="0" autoLine="0" autoPict="0">
                <anchor moveWithCells="1">
                  <from>
                    <xdr:col>0</xdr:col>
                    <xdr:colOff>0</xdr:colOff>
                    <xdr:row>25</xdr:row>
                    <xdr:rowOff>0</xdr:rowOff>
                  </from>
                  <to>
                    <xdr:col>6</xdr:col>
                    <xdr:colOff>0</xdr:colOff>
                    <xdr:row>26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4"/>
  <dimension ref="A1:D37"/>
  <sheetViews>
    <sheetView showGridLines="0" workbookViewId="0">
      <pane ySplit="2" topLeftCell="A18" activePane="bottomLeft" state="frozen"/>
      <selection pane="bottomLeft" activeCell="B37" sqref="B37"/>
    </sheetView>
  </sheetViews>
  <sheetFormatPr defaultRowHeight="14.25"/>
  <cols>
    <col min="1" max="1" width="9.140625" style="142"/>
    <col min="2" max="2" width="9.140625" style="146"/>
    <col min="3" max="3" width="150.85546875" style="142" customWidth="1"/>
    <col min="4" max="4" width="15.140625" style="146" customWidth="1"/>
    <col min="5" max="16384" width="9.140625" style="24"/>
  </cols>
  <sheetData>
    <row r="1" spans="1:4" s="248" customFormat="1" ht="21" thickBot="1">
      <c r="A1" s="275" t="str">
        <f>HLOOKUP(Language!$C$3,Language!$E$1:$Z533,78,FALSE)</f>
        <v>THIS CORTEC FILE HAS BEEN REPLACED BY THE S20 CORTEC FILE</v>
      </c>
      <c r="B1" s="146"/>
      <c r="C1" s="142"/>
      <c r="D1" s="146"/>
    </row>
    <row r="2" spans="1:4" ht="15.75">
      <c r="A2" s="133" t="str">
        <f ca="1">Database!E4</f>
        <v>S2024G11PMAXXXH06B</v>
      </c>
      <c r="B2" s="143"/>
      <c r="C2" s="134"/>
      <c r="D2" s="147"/>
    </row>
    <row r="3" spans="1:4" ht="15">
      <c r="A3" s="135" t="str">
        <f ca="1">Database!E2</f>
        <v>S2024G Modular Managed Ethernet Switch</v>
      </c>
      <c r="B3" s="144"/>
      <c r="C3" s="136"/>
      <c r="D3" s="148"/>
    </row>
    <row r="4" spans="1:4" ht="15">
      <c r="A4" s="135" t="str">
        <f>Database!B5</f>
        <v>Power Supply 1</v>
      </c>
      <c r="B4" s="144"/>
      <c r="C4" s="136"/>
      <c r="D4" s="148"/>
    </row>
    <row r="5" spans="1:4">
      <c r="A5" s="137" t="str">
        <f ca="1">Database!E5</f>
        <v>24-48 Vdc</v>
      </c>
      <c r="B5" s="144"/>
      <c r="C5" s="136"/>
      <c r="D5" s="148"/>
    </row>
    <row r="6" spans="1:4" ht="15">
      <c r="A6" s="135" t="str">
        <f>Database!B9</f>
        <v>Power Supply 2</v>
      </c>
      <c r="B6" s="144"/>
      <c r="C6" s="136"/>
      <c r="D6" s="148"/>
    </row>
    <row r="7" spans="1:4">
      <c r="A7" s="137" t="str">
        <f ca="1">Database!E9</f>
        <v>24-48 Vdc</v>
      </c>
      <c r="B7" s="144"/>
      <c r="C7" s="136"/>
      <c r="D7" s="148"/>
    </row>
    <row r="8" spans="1:4" ht="15">
      <c r="A8" s="135" t="str">
        <f>Database!B14</f>
        <v>Mounting Options</v>
      </c>
      <c r="B8" s="144"/>
      <c r="C8" s="136"/>
      <c r="D8" s="148"/>
    </row>
    <row r="9" spans="1:4">
      <c r="A9" s="137" t="str">
        <f ca="1">Database!E14</f>
        <v>19” Rack Mount / Rear Mount</v>
      </c>
      <c r="B9" s="144"/>
      <c r="C9" s="136"/>
      <c r="D9" s="148"/>
    </row>
    <row r="10" spans="1:4" ht="15">
      <c r="A10" s="135" t="str">
        <f>Database!B18</f>
        <v>Interface Module 1</v>
      </c>
      <c r="B10" s="144"/>
      <c r="C10" s="136"/>
      <c r="D10" s="148"/>
    </row>
    <row r="11" spans="1:4">
      <c r="A11" s="137" t="str">
        <f ca="1">Database!E18</f>
        <v>Two 1 Gbps LC-type connector multi mode fiber 1000BASE-SX Ethernet for up to 0.5 km + Two 100 Mbps LC-type connector multi mode fiber 100BASE-FX Ethernet for up to 2 km</v>
      </c>
      <c r="B11" s="144"/>
      <c r="C11" s="136"/>
      <c r="D11" s="148"/>
    </row>
    <row r="12" spans="1:4" ht="15">
      <c r="A12" s="135" t="str">
        <f>Database!B33</f>
        <v>Interface Module 2</v>
      </c>
      <c r="B12" s="144"/>
      <c r="C12" s="136"/>
      <c r="D12" s="148"/>
    </row>
    <row r="13" spans="1:4" s="230" customFormat="1">
      <c r="A13" s="137" t="str">
        <f ca="1">Database!E33</f>
        <v>Four 1 Gbps RJ45 copper 10/100BASE-TX/1000BASE-T Ethernet ports</v>
      </c>
      <c r="B13" s="144"/>
      <c r="C13" s="136"/>
      <c r="D13" s="148"/>
    </row>
    <row r="14" spans="1:4" ht="15">
      <c r="A14" s="135" t="str">
        <f>Database!B45</f>
        <v>Interface Module 3</v>
      </c>
      <c r="B14" s="144"/>
      <c r="C14" s="136"/>
      <c r="D14" s="148"/>
    </row>
    <row r="15" spans="1:4">
      <c r="A15" s="137" t="str">
        <f ca="1">Database!E45</f>
        <v>Not installed</v>
      </c>
      <c r="B15" s="144"/>
      <c r="C15" s="136"/>
      <c r="D15" s="148"/>
    </row>
    <row r="16" spans="1:4" ht="15">
      <c r="A16" s="135" t="str">
        <f>Database!B57</f>
        <v>Interface Module 4</v>
      </c>
      <c r="B16" s="144"/>
      <c r="C16" s="136"/>
      <c r="D16" s="148"/>
    </row>
    <row r="17" spans="1:4" s="230" customFormat="1">
      <c r="A17" s="137" t="str">
        <f ca="1">Database!E57</f>
        <v>Not installed</v>
      </c>
      <c r="B17" s="144"/>
      <c r="C17" s="136"/>
      <c r="D17" s="148"/>
    </row>
    <row r="18" spans="1:4" ht="15">
      <c r="A18" s="135" t="str">
        <f>Database!B69</f>
        <v>Interface Module 5</v>
      </c>
      <c r="B18" s="144"/>
      <c r="C18" s="136"/>
      <c r="D18" s="148"/>
    </row>
    <row r="19" spans="1:4" s="230" customFormat="1">
      <c r="A19" s="137" t="str">
        <f ca="1">Database!E69</f>
        <v>Not installed</v>
      </c>
      <c r="B19" s="144"/>
      <c r="C19" s="136"/>
      <c r="D19" s="148"/>
    </row>
    <row r="20" spans="1:4" ht="15">
      <c r="A20" s="135" t="str">
        <f>Database!B81</f>
        <v>Interface Module 6</v>
      </c>
      <c r="B20" s="144"/>
      <c r="C20" s="136"/>
      <c r="D20" s="148"/>
    </row>
    <row r="21" spans="1:4" s="230" customFormat="1">
      <c r="A21" s="137" t="str">
        <f ca="1">Database!E81</f>
        <v>Four 100 Mbps LC-type connector multi mode fiber 100BASE-FX Ethernet for up to 2 km</v>
      </c>
      <c r="B21" s="144"/>
      <c r="C21" s="136"/>
      <c r="D21" s="148"/>
    </row>
    <row r="22" spans="1:4" s="230" customFormat="1" ht="15">
      <c r="A22" s="135" t="str">
        <f>Database!B93</f>
        <v>Firmware Version</v>
      </c>
      <c r="B22" s="144"/>
      <c r="C22" s="136"/>
      <c r="D22" s="148"/>
    </row>
    <row r="23" spans="1:4" s="230" customFormat="1">
      <c r="A23" s="137" t="str">
        <f ca="1">Database!E93</f>
        <v>Latest available firmware - 06</v>
      </c>
      <c r="B23" s="144"/>
      <c r="C23" s="136"/>
      <c r="D23" s="148"/>
    </row>
    <row r="24" spans="1:4" ht="15">
      <c r="A24" s="135" t="str">
        <f>Database!B97</f>
        <v>Hardware Design Suffix</v>
      </c>
      <c r="B24" s="144"/>
      <c r="C24" s="136"/>
      <c r="D24" s="148"/>
    </row>
    <row r="25" spans="1:4" ht="15" thickBot="1">
      <c r="A25" s="233" t="str">
        <f ca="1">Database!E97</f>
        <v>Standard hardware release</v>
      </c>
      <c r="B25" s="145"/>
      <c r="C25" s="139"/>
      <c r="D25" s="149"/>
    </row>
    <row r="26" spans="1:4">
      <c r="A26" s="140"/>
      <c r="B26" s="143"/>
      <c r="C26" s="134"/>
      <c r="D26" s="147"/>
    </row>
    <row r="27" spans="1:4">
      <c r="A27" s="141" t="str">
        <f>HLOOKUP(Language!$C$3,Language!$E$1:$Z528,30,FALSE)</f>
        <v>Issue</v>
      </c>
      <c r="B27" s="144"/>
      <c r="C27" s="136"/>
      <c r="D27" s="148"/>
    </row>
    <row r="28" spans="1:4">
      <c r="A28" s="141"/>
      <c r="B28" s="150" t="s">
        <v>26</v>
      </c>
      <c r="C28" s="151" t="str">
        <f>HLOOKUP(Language!$C$3,Language!$E$1:$Z527,31,FALSE)</f>
        <v>Original created</v>
      </c>
      <c r="D28" s="152">
        <v>42060</v>
      </c>
    </row>
    <row r="29" spans="1:4">
      <c r="A29" s="141"/>
      <c r="B29" s="150" t="s">
        <v>27</v>
      </c>
      <c r="C29" s="151" t="str">
        <f>HLOOKUP(Language!$C$3,Language!$E$1:$Z528,53,FALSE)</f>
        <v>Module J, K, L, M Options included and update firmware version to 04</v>
      </c>
      <c r="D29" s="152">
        <f>'Date Drivers'!C2</f>
        <v>42356</v>
      </c>
    </row>
    <row r="30" spans="1:4">
      <c r="A30" s="141"/>
      <c r="B30" s="150" t="s">
        <v>29</v>
      </c>
      <c r="C30" s="151" t="str">
        <f>HLOOKUP(Language!$C$3,Language!$E$1:$Z529,54,FALSE)</f>
        <v>Amended hardware design suffix to B</v>
      </c>
      <c r="D30" s="152">
        <f>'Date Drivers'!K2</f>
        <v>42445</v>
      </c>
    </row>
    <row r="31" spans="1:4">
      <c r="A31" s="141"/>
      <c r="B31" s="150" t="s">
        <v>30</v>
      </c>
      <c r="C31" s="151" t="str">
        <f>HLOOKUP(Language!$C$3,Language!$E$1:$Z530,56,FALSE)</f>
        <v>New firmware and GE branding</v>
      </c>
      <c r="D31" s="152">
        <f>'Date Drivers'!O2</f>
        <v>42494</v>
      </c>
    </row>
    <row r="32" spans="1:4">
      <c r="A32" s="141"/>
      <c r="B32" s="150" t="s">
        <v>41</v>
      </c>
      <c r="C32" s="151" t="str">
        <f>HLOOKUP(Language!$C$3,Language!$E$1:$Z531,57,FALSE)</f>
        <v>Removed firmware version 04, included the Accessories tab</v>
      </c>
      <c r="D32" s="152">
        <f>'Date Drivers'!S2</f>
        <v>42556</v>
      </c>
    </row>
    <row r="33" spans="1:4" s="248" customFormat="1">
      <c r="A33" s="250"/>
      <c r="B33" s="272" t="s">
        <v>42</v>
      </c>
      <c r="C33" s="273" t="str">
        <f>HLOOKUP(Language!$C$3,Language!$E$1:$Z531,68,FALSE)</f>
        <v>Added firmware version 06 and included the 1 Gbps SFP for 120km as accessory</v>
      </c>
      <c r="D33" s="274">
        <f>'Date Drivers'!W2</f>
        <v>42656</v>
      </c>
    </row>
    <row r="34" spans="1:4" s="248" customFormat="1">
      <c r="A34" s="250"/>
      <c r="B34" s="272" t="s">
        <v>190</v>
      </c>
      <c r="C34" s="273" t="str">
        <f>HLOOKUP(Language!$C$3,Language!$E$1:$Z532,73,FALSE)</f>
        <v>Multiple withdraws: Interface Module options J, K &amp; L (refer to GER-4844) and alternate hardware (BL) / Transceiver SFP1GCU01K replaced by SFP1GCU02K</v>
      </c>
      <c r="D34" s="274">
        <f>'Date Drivers'!AA2</f>
        <v>43348</v>
      </c>
    </row>
    <row r="35" spans="1:4" s="248" customFormat="1">
      <c r="A35" s="250"/>
      <c r="B35" s="289" t="s">
        <v>202</v>
      </c>
      <c r="C35" s="273" t="str">
        <f>HLOOKUP(Language!$C$3,Language!$E$1:$Z533,76,FALSE)</f>
        <v>Firmware 05 and 06 have been withdrawn as per GE Publication No. GER-4820 and GER-4844.</v>
      </c>
      <c r="D35" s="274">
        <v>43678</v>
      </c>
    </row>
    <row r="36" spans="1:4" s="248" customFormat="1">
      <c r="A36" s="250"/>
      <c r="B36" s="290"/>
      <c r="C36" s="273" t="str">
        <f>HLOOKUP(Language!$C$3,Language!$E$1:$Z534,77,FALSE)</f>
        <v>This Cortec file has be superseded by the S20 Cortec File; please reference the S20 Cortec file for your current ordering needs.</v>
      </c>
      <c r="D36" s="274">
        <f>D35</f>
        <v>43678</v>
      </c>
    </row>
    <row r="37" spans="1:4" ht="15" thickBot="1">
      <c r="A37" s="138"/>
      <c r="B37" s="153"/>
      <c r="C37" s="154"/>
      <c r="D37" s="155"/>
    </row>
  </sheetData>
  <sheetProtection password="C927" sheet="1" objects="1" scenarios="1"/>
  <mergeCells count="1">
    <mergeCell ref="B35:B36"/>
  </mergeCells>
  <pageMargins left="0.511811024" right="0.511811024" top="0.78740157499999996" bottom="0.78740157499999996" header="0.31496062000000002" footer="0.31496062000000002"/>
  <pageSetup paperSize="9" orientation="portrait" r:id="rId1"/>
  <ignoredErrors>
    <ignoredError sqref="A12"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0"/>
  <sheetViews>
    <sheetView showGridLines="0" showRowColHeaders="0" workbookViewId="0"/>
  </sheetViews>
  <sheetFormatPr defaultRowHeight="14.25"/>
  <cols>
    <col min="1" max="1" width="22.28515625" style="238" customWidth="1"/>
    <col min="2" max="4" width="21.5703125" style="238" customWidth="1"/>
    <col min="5" max="5" width="31.42578125" style="238" customWidth="1"/>
    <col min="6" max="16384" width="9.140625" style="238"/>
  </cols>
  <sheetData>
    <row r="1" spans="1:5" ht="20.25">
      <c r="A1" s="275" t="str">
        <f>HLOOKUP(Language!$C$3,Language!$E$1:$Z533,78,FALSE)</f>
        <v>THIS CORTEC FILE HAS BEEN REPLACED BY THE S20 CORTEC FILE</v>
      </c>
    </row>
    <row r="2" spans="1:5" s="237" customFormat="1" ht="20.25" customHeight="1">
      <c r="A2" s="294" t="str">
        <f>HLOOKUP(Language!$C$3,Language!$E$1:$Z529,58,FALSE)</f>
        <v>Accessories</v>
      </c>
      <c r="B2" s="295"/>
      <c r="C2" s="295"/>
      <c r="D2" s="295"/>
      <c r="E2" s="296"/>
    </row>
    <row r="3" spans="1:5" ht="16.5" customHeight="1">
      <c r="A3" s="241" t="str">
        <f>HLOOKUP(Language!$C$3,Language!$E$1:$Z529,59,FALSE)</f>
        <v>Code</v>
      </c>
      <c r="B3" s="297" t="str">
        <f>HLOOKUP(Language!$C$3,Language!$E$1:$Z529,60,FALSE)</f>
        <v>Description</v>
      </c>
      <c r="C3" s="297"/>
      <c r="D3" s="297"/>
      <c r="E3" s="297"/>
    </row>
    <row r="4" spans="1:5" ht="7.5" customHeight="1">
      <c r="A4" s="242"/>
      <c r="B4" s="242"/>
      <c r="C4" s="242"/>
      <c r="D4" s="242"/>
      <c r="E4" s="242"/>
    </row>
    <row r="5" spans="1:5" ht="24" customHeight="1">
      <c r="A5" s="265" t="s">
        <v>191</v>
      </c>
      <c r="B5" s="291" t="str">
        <f>HLOOKUP(Language!$C$3,Language!$E$1:$Z529,61,FALSE)</f>
        <v>SFP Transceiver 10/100/1000Mbps, RJ45 connector</v>
      </c>
      <c r="C5" s="292"/>
      <c r="D5" s="292"/>
      <c r="E5" s="293"/>
    </row>
    <row r="6" spans="1:5" s="239" customFormat="1" ht="24.75" customHeight="1">
      <c r="A6" s="265" t="s">
        <v>146</v>
      </c>
      <c r="B6" s="291" t="str">
        <f>HLOOKUP(Language!$C$3,Language!$E$1:$Z529,62,FALSE)</f>
        <v>SFP Transceiver 1000Mbps LC single mode, 1310nm wavelength, 10km</v>
      </c>
      <c r="C6" s="292"/>
      <c r="D6" s="292"/>
      <c r="E6" s="293"/>
    </row>
    <row r="7" spans="1:5" s="239" customFormat="1" ht="24.75" customHeight="1">
      <c r="A7" s="265" t="s">
        <v>147</v>
      </c>
      <c r="B7" s="291" t="str">
        <f>HLOOKUP(Language!$C$3,Language!$E$1:$Z529,63,FALSE)</f>
        <v>SFP Transceiver 1000Mbps LC single mode, 1310nm wavelength, 40km</v>
      </c>
      <c r="C7" s="292"/>
      <c r="D7" s="292"/>
      <c r="E7" s="293"/>
    </row>
    <row r="8" spans="1:5" s="239" customFormat="1" ht="24.75" customHeight="1">
      <c r="A8" s="265" t="s">
        <v>148</v>
      </c>
      <c r="B8" s="291" t="str">
        <f>HLOOKUP(Language!$C$3,Language!$E$1:$Z529,64,FALSE)</f>
        <v>SFP Transceiver 1000Mbps LC single mode, 1550nm wavelength, 80km</v>
      </c>
      <c r="C8" s="292"/>
      <c r="D8" s="292"/>
      <c r="E8" s="293"/>
    </row>
    <row r="9" spans="1:5" s="239" customFormat="1" ht="24.75" customHeight="1">
      <c r="A9" s="265" t="s">
        <v>179</v>
      </c>
      <c r="B9" s="291" t="str">
        <f>HLOOKUP(Language!$C$3,Language!$E$1:$Z530,67,FALSE)</f>
        <v>SFP Transceiver 1000Mbps LC single mode, 1550nm wavelength, 120km </v>
      </c>
      <c r="C9" s="292"/>
      <c r="D9" s="292"/>
      <c r="E9" s="293"/>
    </row>
    <row r="10" spans="1:5" s="239" customFormat="1" ht="24.75" customHeight="1">
      <c r="A10" s="265" t="s">
        <v>149</v>
      </c>
      <c r="B10" s="291" t="str">
        <f>HLOOKUP(Language!$C$3,Language!$E$1:$Z529,65,FALSE)</f>
        <v>SFP Transceiver 1000Mbps LC multi mode, 850nm wavelength, 500m</v>
      </c>
      <c r="C10" s="292"/>
      <c r="D10" s="292"/>
      <c r="E10" s="293"/>
    </row>
    <row r="11" spans="1:5" s="239" customFormat="1" ht="24.75" customHeight="1">
      <c r="A11" s="265" t="s">
        <v>150</v>
      </c>
      <c r="B11" s="291" t="str">
        <f>HLOOKUP(Language!$C$3,Language!$E$1:$Z529,66,FALSE)</f>
        <v>SFP Transceiver 100Mbps LC multi mode, 1310nm wavelength, 2km</v>
      </c>
      <c r="C11" s="292"/>
      <c r="D11" s="292"/>
      <c r="E11" s="293"/>
    </row>
    <row r="12" spans="1:5" ht="24" customHeight="1">
      <c r="A12" s="265" t="s">
        <v>144</v>
      </c>
      <c r="B12" s="291" t="str">
        <f>HLOOKUP(Language!$C$3,Language!$E$1:$Z536,75,FALSE)</f>
        <v>SFP Transceiver 10/100/1000Mbps, RJ45 connector, not CE Market (Withdraw)</v>
      </c>
      <c r="C12" s="292"/>
      <c r="D12" s="292"/>
      <c r="E12" s="293"/>
    </row>
    <row r="13" spans="1:5">
      <c r="B13" s="240"/>
      <c r="C13" s="240"/>
      <c r="D13" s="240"/>
      <c r="E13" s="240"/>
    </row>
    <row r="14" spans="1:5">
      <c r="B14" s="240"/>
      <c r="C14" s="240"/>
      <c r="D14" s="240"/>
      <c r="E14" s="240"/>
    </row>
    <row r="15" spans="1:5">
      <c r="B15" s="240"/>
      <c r="C15" s="240"/>
      <c r="D15" s="240"/>
      <c r="E15" s="240"/>
    </row>
    <row r="16" spans="1:5">
      <c r="B16" s="240"/>
      <c r="C16" s="240"/>
      <c r="D16" s="240"/>
      <c r="E16" s="240"/>
    </row>
    <row r="17" spans="2:5">
      <c r="B17" s="240"/>
      <c r="C17" s="240"/>
      <c r="D17" s="240"/>
      <c r="E17" s="240"/>
    </row>
    <row r="18" spans="2:5">
      <c r="B18" s="240"/>
      <c r="C18" s="240"/>
      <c r="D18" s="240"/>
      <c r="E18" s="240"/>
    </row>
    <row r="19" spans="2:5">
      <c r="B19" s="240"/>
      <c r="C19" s="240"/>
      <c r="D19" s="240"/>
      <c r="E19" s="240"/>
    </row>
    <row r="20" spans="2:5">
      <c r="B20" s="240"/>
      <c r="C20" s="240"/>
      <c r="D20" s="240"/>
      <c r="E20" s="240"/>
    </row>
  </sheetData>
  <sheetProtection password="C927" sheet="1" objects="1" scenarios="1"/>
  <mergeCells count="10">
    <mergeCell ref="B5:E5"/>
    <mergeCell ref="B10:E10"/>
    <mergeCell ref="B11:E11"/>
    <mergeCell ref="B12:E12"/>
    <mergeCell ref="A2:E2"/>
    <mergeCell ref="B3:E3"/>
    <mergeCell ref="B6:E6"/>
    <mergeCell ref="B7:E7"/>
    <mergeCell ref="B8:E8"/>
    <mergeCell ref="B9:E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5"/>
  <dimension ref="A1:K100"/>
  <sheetViews>
    <sheetView topLeftCell="A53" zoomScaleNormal="100" workbookViewId="0">
      <selection activeCell="E105" sqref="E105"/>
    </sheetView>
  </sheetViews>
  <sheetFormatPr defaultRowHeight="12"/>
  <cols>
    <col min="1" max="1" width="5.28515625" style="1" customWidth="1"/>
    <col min="2" max="2" width="30.7109375" style="196" customWidth="1"/>
    <col min="3" max="4" width="3.85546875" style="1" customWidth="1"/>
    <col min="5" max="5" width="85.140625" style="14" customWidth="1"/>
    <col min="6" max="6" width="5.85546875" style="1" customWidth="1"/>
    <col min="7" max="8" width="10.7109375" style="229" customWidth="1"/>
    <col min="9" max="9" width="9.140625" style="196"/>
    <col min="10" max="10" width="29.28515625" style="196" customWidth="1"/>
    <col min="11" max="11" width="19.28515625" style="196" customWidth="1"/>
    <col min="12" max="16384" width="9.140625" style="196"/>
  </cols>
  <sheetData>
    <row r="1" spans="1:11">
      <c r="B1" s="183" t="s">
        <v>32</v>
      </c>
      <c r="C1" s="193"/>
      <c r="D1" s="193"/>
      <c r="E1" s="194">
        <v>43348</v>
      </c>
      <c r="G1" s="195" t="s">
        <v>44</v>
      </c>
      <c r="H1" s="195" t="s">
        <v>39</v>
      </c>
      <c r="J1" s="197" t="s">
        <v>33</v>
      </c>
      <c r="K1" s="198" t="str">
        <f>ADDRESS(1,MATCH(E1,'Date Drivers'!A2:ZZ2,0),1,1,"Date Drivers")</f>
        <v>'Date Drivers'!$AA$1</v>
      </c>
    </row>
    <row r="2" spans="1:11">
      <c r="B2" s="183" t="str">
        <f>INDEX('Date Drivers'!$A$1:$B$368,4,2)</f>
        <v>Model Type</v>
      </c>
      <c r="C2" s="193"/>
      <c r="D2" s="193"/>
      <c r="E2" s="199" t="str">
        <f ca="1">INDEX(INDIRECT($K$1&amp;":"&amp;$K$2),4,1)</f>
        <v>S2024G Modular Managed Ethernet Switch</v>
      </c>
      <c r="G2" s="195">
        <f ca="1">INDEX(INDIRECT($K$1&amp;":"&amp;$K$2),5,3)</f>
        <v>0</v>
      </c>
      <c r="H2" s="195" t="str">
        <f ca="1">INDEX(INDIRECT($K$1&amp;":"&amp;$K$2),5,4)</f>
        <v>Y</v>
      </c>
      <c r="J2" s="197" t="s">
        <v>34</v>
      </c>
      <c r="K2" s="198" t="str">
        <f>ADDRESS(500,MATCH(E1,'Date Drivers'!A2:ZZ2,0)+4,1,1)</f>
        <v>$AE$500</v>
      </c>
    </row>
    <row r="3" spans="1:11">
      <c r="B3" s="183" t="s">
        <v>101</v>
      </c>
      <c r="C3" s="193"/>
      <c r="D3" s="193"/>
      <c r="E3" s="199" t="str">
        <f>'Date Drivers'!C5</f>
        <v>S2024G</v>
      </c>
      <c r="G3" s="195"/>
      <c r="H3" s="195"/>
      <c r="J3" s="200"/>
      <c r="K3" s="201"/>
    </row>
    <row r="4" spans="1:11">
      <c r="B4" s="184" t="s">
        <v>104</v>
      </c>
      <c r="C4" s="202"/>
      <c r="D4" s="202"/>
      <c r="E4" s="199" t="str">
        <f ca="1">CONCATENATE(E3,F5,F9,F14,F18,F33,F45,F57,F69,F81,F93,F97)</f>
        <v>S2024G11PMAXXXH06B</v>
      </c>
      <c r="G4" s="195"/>
      <c r="H4" s="195"/>
      <c r="J4" s="203"/>
    </row>
    <row r="5" spans="1:11">
      <c r="A5" s="204">
        <v>1</v>
      </c>
      <c r="B5" s="205" t="str">
        <f>INDEX('Date Drivers'!$A$1:$B$368,Database!C6,2)</f>
        <v>Power Supply 1</v>
      </c>
      <c r="C5" s="206"/>
      <c r="D5" s="207">
        <v>1</v>
      </c>
      <c r="E5" s="208" t="str">
        <f ca="1">VLOOKUP(D5,D6:F7,2,FALSE)</f>
        <v>24-48 Vdc</v>
      </c>
      <c r="F5" s="207">
        <f ca="1">VLOOKUP(D5,D6:F7,3,FALSE)</f>
        <v>1</v>
      </c>
      <c r="G5" s="207">
        <f ca="1">VLOOKUP(D5,D6:H7,4,FALSE)</f>
        <v>0</v>
      </c>
      <c r="H5" s="207" t="str">
        <f ca="1">VLOOKUP(D5,D6:H7,5,FALSE)</f>
        <v>Y</v>
      </c>
      <c r="J5" s="203"/>
    </row>
    <row r="6" spans="1:11">
      <c r="A6" s="203"/>
      <c r="B6" s="203"/>
      <c r="C6" s="9">
        <f>MATCH(A5,'Date Drivers'!$A$1:$A$368,0)</f>
        <v>6</v>
      </c>
      <c r="D6" s="9">
        <v>1</v>
      </c>
      <c r="E6" s="209" t="str">
        <f ca="1">INDEX(INDIRECT($K$1&amp;":"&amp;$K$2),C6,1)</f>
        <v>24-48 Vdc</v>
      </c>
      <c r="F6" s="9">
        <f ca="1">INDEX(INDIRECT($K$1&amp;":"&amp;$K$2),C6,2)</f>
        <v>1</v>
      </c>
      <c r="G6" s="210">
        <f ca="1">INDEX(INDIRECT($K$1&amp;":"&amp;$K$2),C6,3)</f>
        <v>0</v>
      </c>
      <c r="H6" s="211" t="str">
        <f ca="1">INDEX(INDIRECT($K$1&amp;":"&amp;$K$2),C6,4)</f>
        <v>Y</v>
      </c>
      <c r="J6" s="203"/>
    </row>
    <row r="7" spans="1:11">
      <c r="A7" s="203"/>
      <c r="B7" s="203"/>
      <c r="C7" s="9">
        <f>C6+1</f>
        <v>7</v>
      </c>
      <c r="D7" s="9">
        <v>2</v>
      </c>
      <c r="E7" s="209" t="str">
        <f ca="1">INDEX(INDIRECT($K$1&amp;":"&amp;$K$2),C7,1)</f>
        <v>100-250 Vdc / 110-240 Vac</v>
      </c>
      <c r="F7" s="9">
        <f ca="1">INDEX(INDIRECT($K$1&amp;":"&amp;$K$2),C7,2)</f>
        <v>3</v>
      </c>
      <c r="G7" s="212">
        <f ca="1">INDEX(INDIRECT($K$1&amp;":"&amp;$K$2),C7,3)</f>
        <v>0</v>
      </c>
      <c r="H7" s="213" t="str">
        <f ca="1">INDEX(INDIRECT($K$1&amp;":"&amp;$K$2),C7,4)</f>
        <v>Y</v>
      </c>
      <c r="J7" s="203"/>
    </row>
    <row r="8" spans="1:11">
      <c r="A8" s="183"/>
      <c r="B8" s="183"/>
      <c r="C8" s="214"/>
      <c r="D8" s="214"/>
      <c r="E8" s="209"/>
      <c r="F8" s="9"/>
      <c r="G8" s="215"/>
      <c r="H8" s="216"/>
      <c r="J8" s="203"/>
    </row>
    <row r="9" spans="1:11">
      <c r="A9" s="204">
        <v>2</v>
      </c>
      <c r="B9" s="205" t="str">
        <f>INDEX('Date Drivers'!$A$1:$B$368,Database!C10,2)</f>
        <v>Power Supply 2</v>
      </c>
      <c r="C9" s="206"/>
      <c r="D9" s="207">
        <v>1</v>
      </c>
      <c r="E9" s="208" t="str">
        <f ca="1">VLOOKUP(D9,D10:F12,2,FALSE)</f>
        <v>24-48 Vdc</v>
      </c>
      <c r="F9" s="207">
        <f ca="1">VLOOKUP(D9,D10:F12,3,FALSE)</f>
        <v>1</v>
      </c>
      <c r="G9" s="207">
        <f ca="1">VLOOKUP(D9,D10:H12,4,FALSE)</f>
        <v>0</v>
      </c>
      <c r="H9" s="207" t="str">
        <f ca="1">VLOOKUP(D9,D10:H12,5,FALSE)</f>
        <v>Y</v>
      </c>
    </row>
    <row r="10" spans="1:11">
      <c r="A10" s="203"/>
      <c r="B10" s="203"/>
      <c r="C10" s="9">
        <f>MATCH(A9,'Date Drivers'!$A$1:$A$368,0)</f>
        <v>9</v>
      </c>
      <c r="D10" s="9">
        <v>1</v>
      </c>
      <c r="E10" s="209" t="str">
        <f ca="1">INDEX(INDIRECT($K$1&amp;":"&amp;$K$2),C10,1)</f>
        <v>24-48 Vdc</v>
      </c>
      <c r="F10" s="9">
        <f ca="1">INDEX(INDIRECT($K$1&amp;":"&amp;$K$2),C10,2)</f>
        <v>1</v>
      </c>
      <c r="G10" s="210">
        <f ca="1">INDEX(INDIRECT($K$1&amp;":"&amp;$K$2),C10,3)</f>
        <v>0</v>
      </c>
      <c r="H10" s="211" t="str">
        <f ca="1">INDEX(INDIRECT($K$1&amp;":"&amp;$K$2),C10,4)</f>
        <v>Y</v>
      </c>
    </row>
    <row r="11" spans="1:11">
      <c r="A11" s="203"/>
      <c r="B11" s="203"/>
      <c r="C11" s="9">
        <f>C10+1</f>
        <v>10</v>
      </c>
      <c r="D11" s="9">
        <f>D10+1</f>
        <v>2</v>
      </c>
      <c r="E11" s="209" t="str">
        <f ca="1">INDEX(INDIRECT($K$1&amp;":"&amp;$K$2),C11,1)</f>
        <v>100-250 Vdc / 110-240 Vac</v>
      </c>
      <c r="F11" s="9">
        <f ca="1">INDEX(INDIRECT($K$1&amp;":"&amp;$K$2),C11,2)</f>
        <v>3</v>
      </c>
      <c r="G11" s="212">
        <f ca="1">INDEX(INDIRECT($K$1&amp;":"&amp;$K$2),C11,3)</f>
        <v>0</v>
      </c>
      <c r="H11" s="213" t="str">
        <f ca="1">INDEX(INDIRECT($K$1&amp;":"&amp;$K$2),C11,4)</f>
        <v>Y</v>
      </c>
    </row>
    <row r="12" spans="1:11">
      <c r="A12" s="203"/>
      <c r="B12" s="203"/>
      <c r="C12" s="9">
        <f>C11+1</f>
        <v>11</v>
      </c>
      <c r="D12" s="9">
        <f>D11+1</f>
        <v>3</v>
      </c>
      <c r="E12" s="209" t="str">
        <f ca="1">INDEX(INDIRECT($K$1&amp;":"&amp;$K$2),C12,1)</f>
        <v>Not installed</v>
      </c>
      <c r="F12" s="9" t="str">
        <f ca="1">INDEX(INDIRECT($K$1&amp;":"&amp;$K$2),C12,2)</f>
        <v>X</v>
      </c>
      <c r="G12" s="212">
        <f ca="1">INDEX(INDIRECT($K$1&amp;":"&amp;$K$2),C12,3)</f>
        <v>0</v>
      </c>
      <c r="H12" s="213" t="str">
        <f ca="1">INDEX(INDIRECT($K$1&amp;":"&amp;$K$2),C12,4)</f>
        <v>Y</v>
      </c>
    </row>
    <row r="13" spans="1:11">
      <c r="B13" s="203"/>
      <c r="C13" s="9"/>
      <c r="D13" s="9"/>
      <c r="E13" s="209"/>
      <c r="F13" s="9"/>
      <c r="G13" s="215"/>
      <c r="H13" s="216"/>
    </row>
    <row r="14" spans="1:11">
      <c r="A14" s="204">
        <v>3</v>
      </c>
      <c r="B14" s="217" t="str">
        <f>INDEX('Date Drivers'!$A$1:$B$368,Database!C15,2)</f>
        <v>Mounting Options</v>
      </c>
      <c r="C14" s="206"/>
      <c r="D14" s="207">
        <v>1</v>
      </c>
      <c r="E14" s="208" t="str">
        <f ca="1">VLOOKUP(D14,D15:F16,2,FALSE)</f>
        <v>19” Rack Mount / Rear Mount</v>
      </c>
      <c r="F14" s="207" t="str">
        <f ca="1">VLOOKUP(D14,D15:F16,3,FALSE)</f>
        <v>P</v>
      </c>
      <c r="G14" s="207">
        <f ca="1">VLOOKUP(D14,D15:H16,4,FALSE)</f>
        <v>0</v>
      </c>
      <c r="H14" s="207" t="str">
        <f ca="1">VLOOKUP(D14,D15:H16,5,FALSE)</f>
        <v>Y</v>
      </c>
    </row>
    <row r="15" spans="1:11">
      <c r="A15" s="203"/>
      <c r="B15" s="203"/>
      <c r="C15" s="9">
        <f>MATCH(A14,'Date Drivers'!$A$1:$A$368,0)</f>
        <v>13</v>
      </c>
      <c r="D15" s="9">
        <v>1</v>
      </c>
      <c r="E15" s="209" t="str">
        <f ca="1">INDEX(INDIRECT($K$1&amp;":"&amp;$K$2),C15,1)</f>
        <v>19” Rack Mount / Rear Mount</v>
      </c>
      <c r="F15" s="9" t="str">
        <f ca="1">INDEX(INDIRECT($K$1&amp;":"&amp;$K$2),C15,2)</f>
        <v>P</v>
      </c>
      <c r="G15" s="210">
        <f ca="1">INDEX(INDIRECT($K$1&amp;":"&amp;$K$2),C15,3)</f>
        <v>0</v>
      </c>
      <c r="H15" s="211" t="str">
        <f ca="1">INDEX(INDIRECT($K$1&amp;":"&amp;$K$2),C15,4)</f>
        <v>Y</v>
      </c>
    </row>
    <row r="16" spans="1:11">
      <c r="A16" s="203"/>
      <c r="B16" s="203"/>
      <c r="C16" s="9"/>
      <c r="D16" s="9"/>
      <c r="E16" s="209"/>
      <c r="F16" s="9"/>
      <c r="G16" s="212"/>
      <c r="H16" s="213"/>
    </row>
    <row r="17" spans="1:8">
      <c r="C17" s="9"/>
      <c r="D17" s="9"/>
      <c r="E17" s="209"/>
      <c r="F17" s="9"/>
      <c r="G17" s="215"/>
      <c r="H17" s="216"/>
    </row>
    <row r="18" spans="1:8" ht="24">
      <c r="A18" s="204">
        <v>4</v>
      </c>
      <c r="B18" s="217" t="str">
        <f>INDEX('Date Drivers'!$A$1:$B$368,Database!C19,2)</f>
        <v>Interface Module 1</v>
      </c>
      <c r="C18" s="206"/>
      <c r="D18" s="207">
        <v>9</v>
      </c>
      <c r="E18" s="208" t="str">
        <f ca="1">VLOOKUP(D18,D19:F31,2,FALSE)</f>
        <v>Two 1 Gbps LC-type connector multi mode fiber 1000BASE-SX Ethernet for up to 0.5 km + Two 100 Mbps LC-type connector multi mode fiber 100BASE-FX Ethernet for up to 2 km</v>
      </c>
      <c r="F18" s="207" t="str">
        <f ca="1">VLOOKUP(D18,D19:F31,3,FALSE)</f>
        <v>M</v>
      </c>
      <c r="G18" s="207">
        <f ca="1">VLOOKUP(D18,D19:H31,4,FALSE)</f>
        <v>0</v>
      </c>
      <c r="H18" s="207" t="str">
        <f ca="1">VLOOKUP(D18,D19:H31,5,FALSE)</f>
        <v>Y</v>
      </c>
    </row>
    <row r="19" spans="1:8">
      <c r="A19" s="203"/>
      <c r="B19" s="203"/>
      <c r="C19" s="218">
        <f>MATCH(A18,'Date Drivers'!$A$1:$A$368,0)</f>
        <v>16</v>
      </c>
      <c r="D19" s="218">
        <v>1</v>
      </c>
      <c r="E19" s="219" t="str">
        <f t="shared" ref="E19:E31" ca="1" si="0">INDEX(INDIRECT($K$1&amp;":"&amp;$K$2),C19,1)</f>
        <v>Four 1 Gbps RJ45 copper 10/100BASE-TX/1000BASE-T Ethernet ports</v>
      </c>
      <c r="F19" s="218" t="str">
        <f t="shared" ref="F19:F31" ca="1" si="1">INDEX(INDIRECT($K$1&amp;":"&amp;$K$2),C19,2)</f>
        <v>A</v>
      </c>
      <c r="G19" s="210">
        <f t="shared" ref="G19:G31" ca="1" si="2">INDEX(INDIRECT($K$1&amp;":"&amp;$K$2),C19,3)</f>
        <v>0</v>
      </c>
      <c r="H19" s="211" t="str">
        <f t="shared" ref="H19:H31" ca="1" si="3">INDEX(INDIRECT($K$1&amp;":"&amp;$K$2),C19,4)</f>
        <v>Y</v>
      </c>
    </row>
    <row r="20" spans="1:8">
      <c r="A20" s="203"/>
      <c r="B20" s="203"/>
      <c r="C20" s="9">
        <f t="shared" ref="C20:D22" si="4">C19+1</f>
        <v>17</v>
      </c>
      <c r="D20" s="9">
        <f t="shared" si="4"/>
        <v>2</v>
      </c>
      <c r="E20" s="209" t="str">
        <f t="shared" ca="1" si="0"/>
        <v>Four slots for SFP transceivers</v>
      </c>
      <c r="F20" s="9" t="str">
        <f t="shared" ca="1" si="1"/>
        <v>B</v>
      </c>
      <c r="G20" s="212">
        <f t="shared" ca="1" si="2"/>
        <v>0</v>
      </c>
      <c r="H20" s="213" t="str">
        <f t="shared" ca="1" si="3"/>
        <v>Y</v>
      </c>
    </row>
    <row r="21" spans="1:8">
      <c r="A21" s="203"/>
      <c r="B21" s="203"/>
      <c r="C21" s="9">
        <f t="shared" si="4"/>
        <v>18</v>
      </c>
      <c r="D21" s="9">
        <f t="shared" si="4"/>
        <v>3</v>
      </c>
      <c r="E21" s="209" t="str">
        <f t="shared" ca="1" si="0"/>
        <v>Four 1 Gbps LC-type connector multi mode fiber 1000BASE-SX Ethernet for up to 0.5 km</v>
      </c>
      <c r="F21" s="9" t="str">
        <f t="shared" ca="1" si="1"/>
        <v>C</v>
      </c>
      <c r="G21" s="212">
        <f t="shared" ca="1" si="2"/>
        <v>0</v>
      </c>
      <c r="H21" s="213" t="str">
        <f t="shared" ca="1" si="3"/>
        <v>Y</v>
      </c>
    </row>
    <row r="22" spans="1:8">
      <c r="B22" s="203"/>
      <c r="C22" s="9">
        <f t="shared" si="4"/>
        <v>19</v>
      </c>
      <c r="D22" s="9">
        <f t="shared" si="4"/>
        <v>4</v>
      </c>
      <c r="E22" s="209" t="str">
        <f t="shared" ca="1" si="0"/>
        <v>Four 1 Gbps LC-type connector single mode fiber 1000BASE-LX Ethernet for up to 10 km</v>
      </c>
      <c r="F22" s="9" t="str">
        <f t="shared" ca="1" si="1"/>
        <v>D</v>
      </c>
      <c r="G22" s="212">
        <f t="shared" ca="1" si="2"/>
        <v>0</v>
      </c>
      <c r="H22" s="213" t="str">
        <f t="shared" ca="1" si="3"/>
        <v>Y</v>
      </c>
    </row>
    <row r="23" spans="1:8">
      <c r="B23" s="203"/>
      <c r="C23" s="9">
        <f t="shared" ref="C23:C31" si="5">C22+1</f>
        <v>20</v>
      </c>
      <c r="D23" s="9">
        <f t="shared" ref="D23:D31" si="6">D22+1</f>
        <v>5</v>
      </c>
      <c r="E23" s="209" t="str">
        <f t="shared" ca="1" si="0"/>
        <v>Four 1 Gbps LC-type connector single mode fiber 1000BASE-ZX Ethernet for up to 40 km</v>
      </c>
      <c r="F23" s="9" t="str">
        <f t="shared" ca="1" si="1"/>
        <v>E</v>
      </c>
      <c r="G23" s="212">
        <f t="shared" ca="1" si="2"/>
        <v>0</v>
      </c>
      <c r="H23" s="213" t="str">
        <f t="shared" ca="1" si="3"/>
        <v>Y</v>
      </c>
    </row>
    <row r="24" spans="1:8">
      <c r="B24" s="203"/>
      <c r="C24" s="9">
        <f t="shared" si="5"/>
        <v>21</v>
      </c>
      <c r="D24" s="9">
        <f t="shared" si="6"/>
        <v>6</v>
      </c>
      <c r="E24" s="209" t="str">
        <f t="shared" ca="1" si="0"/>
        <v>Four 1 Gbps LC-type connector single mode fiber 1000BASE-ZX Ethernet for up to 80 km</v>
      </c>
      <c r="F24" s="9" t="str">
        <f t="shared" ca="1" si="1"/>
        <v>F</v>
      </c>
      <c r="G24" s="212">
        <f t="shared" ca="1" si="2"/>
        <v>0</v>
      </c>
      <c r="H24" s="213" t="str">
        <f t="shared" ca="1" si="3"/>
        <v>Y</v>
      </c>
    </row>
    <row r="25" spans="1:8">
      <c r="B25" s="203"/>
      <c r="C25" s="9">
        <f t="shared" si="5"/>
        <v>22</v>
      </c>
      <c r="D25" s="9">
        <f t="shared" si="6"/>
        <v>7</v>
      </c>
      <c r="E25" s="209" t="str">
        <f t="shared" ca="1" si="0"/>
        <v>Four 100 Mbps LC-type connector multi mode fiber 100BASE-FX Ethernet for up to 2 km</v>
      </c>
      <c r="F25" s="9" t="str">
        <f t="shared" ca="1" si="1"/>
        <v>H</v>
      </c>
      <c r="G25" s="212">
        <f t="shared" ca="1" si="2"/>
        <v>0</v>
      </c>
      <c r="H25" s="213" t="str">
        <f t="shared" ca="1" si="3"/>
        <v>Y</v>
      </c>
    </row>
    <row r="26" spans="1:8">
      <c r="B26" s="203"/>
      <c r="C26" s="9">
        <f t="shared" si="5"/>
        <v>23</v>
      </c>
      <c r="D26" s="9">
        <f t="shared" si="6"/>
        <v>8</v>
      </c>
      <c r="E26" s="209" t="str">
        <f t="shared" ca="1" si="0"/>
        <v>Four RJ45 copper 10/100BASE-TX</v>
      </c>
      <c r="F26" s="9" t="str">
        <f t="shared" ca="1" si="1"/>
        <v>I</v>
      </c>
      <c r="G26" s="212">
        <f t="shared" ca="1" si="2"/>
        <v>0</v>
      </c>
      <c r="H26" s="213" t="str">
        <f t="shared" ca="1" si="3"/>
        <v>Y</v>
      </c>
    </row>
    <row r="27" spans="1:8" ht="24">
      <c r="B27" s="203"/>
      <c r="C27" s="9">
        <f t="shared" si="5"/>
        <v>24</v>
      </c>
      <c r="D27" s="9">
        <f t="shared" si="6"/>
        <v>9</v>
      </c>
      <c r="E27" s="209" t="str">
        <f t="shared" ca="1" si="0"/>
        <v>Two 1 Gbps LC-type connector multi mode fiber 1000BASE-SX Ethernet for up to 0.5 km + Two 100 Mbps LC-type connector multi mode fiber 100BASE-FX Ethernet for up to 2 km</v>
      </c>
      <c r="F27" s="9" t="str">
        <f t="shared" ca="1" si="1"/>
        <v>M</v>
      </c>
      <c r="G27" s="212">
        <f t="shared" ca="1" si="2"/>
        <v>0</v>
      </c>
      <c r="H27" s="213" t="str">
        <f t="shared" ca="1" si="3"/>
        <v>Y</v>
      </c>
    </row>
    <row r="28" spans="1:8" ht="24">
      <c r="B28" s="203"/>
      <c r="C28" s="9">
        <f t="shared" si="5"/>
        <v>25</v>
      </c>
      <c r="D28" s="9">
        <f t="shared" si="6"/>
        <v>10</v>
      </c>
      <c r="E28" s="209" t="str">
        <f t="shared" ca="1" si="0"/>
        <v>Four 1 Gbps RJ45 SFP Transceivers 10/100BASE-TX/1000BASE-T Ethernet ports (Not CE marked) (Withdraw)</v>
      </c>
      <c r="F28" s="9" t="str">
        <f t="shared" ca="1" si="1"/>
        <v>J</v>
      </c>
      <c r="G28" s="212">
        <f t="shared" ca="1" si="2"/>
        <v>0</v>
      </c>
      <c r="H28" s="213" t="str">
        <f t="shared" ca="1" si="3"/>
        <v>Y</v>
      </c>
    </row>
    <row r="29" spans="1:8" ht="24">
      <c r="B29" s="203"/>
      <c r="C29" s="9">
        <f t="shared" si="5"/>
        <v>26</v>
      </c>
      <c r="D29" s="9">
        <f t="shared" si="6"/>
        <v>11</v>
      </c>
      <c r="E29" s="209" t="str">
        <f t="shared" ca="1" si="0"/>
        <v>Two 1 Gbps RJ45 SFP Transceivers 10/100BASE-TX/1000BASE-T Ethernet ports + Two 1 Gbps LC-type connector multi mode fiber 1000BASE-SX Ethernet for up to 0.5 km  (Withdraw)</v>
      </c>
      <c r="F29" s="9" t="str">
        <f t="shared" ca="1" si="1"/>
        <v>K</v>
      </c>
      <c r="G29" s="212">
        <f t="shared" ca="1" si="2"/>
        <v>0</v>
      </c>
      <c r="H29" s="213" t="str">
        <f t="shared" ca="1" si="3"/>
        <v>Y</v>
      </c>
    </row>
    <row r="30" spans="1:8" ht="24">
      <c r="B30" s="203"/>
      <c r="C30" s="9">
        <f t="shared" si="5"/>
        <v>27</v>
      </c>
      <c r="D30" s="9">
        <f t="shared" si="6"/>
        <v>12</v>
      </c>
      <c r="E30" s="209" t="str">
        <f t="shared" ca="1" si="0"/>
        <v>Two 1 Gbps RJ45 SFP Transceivers 10/100BASE-TX/1000BASE-T Ethernet ports + Two 100 Mbps LC-type connector multi mode fiber 100BASE-FX Ethernet for up to 2 km (Withdraw)</v>
      </c>
      <c r="F30" s="9" t="str">
        <f t="shared" ca="1" si="1"/>
        <v>L</v>
      </c>
      <c r="G30" s="212">
        <f t="shared" ca="1" si="2"/>
        <v>0</v>
      </c>
      <c r="H30" s="213" t="str">
        <f t="shared" ca="1" si="3"/>
        <v>Y</v>
      </c>
    </row>
    <row r="31" spans="1:8">
      <c r="B31" s="203"/>
      <c r="C31" s="9">
        <f t="shared" si="5"/>
        <v>28</v>
      </c>
      <c r="D31" s="9">
        <f t="shared" si="6"/>
        <v>13</v>
      </c>
      <c r="E31" s="209" t="str">
        <f t="shared" ca="1" si="0"/>
        <v>Not installed (Withdraw)</v>
      </c>
      <c r="F31" s="9" t="str">
        <f t="shared" ca="1" si="1"/>
        <v>X</v>
      </c>
      <c r="G31" s="212">
        <f t="shared" ca="1" si="2"/>
        <v>0</v>
      </c>
      <c r="H31" s="213" t="str">
        <f t="shared" ca="1" si="3"/>
        <v>Y</v>
      </c>
    </row>
    <row r="32" spans="1:8">
      <c r="C32" s="11"/>
      <c r="D32" s="11"/>
      <c r="E32" s="220"/>
      <c r="F32" s="11"/>
      <c r="G32" s="215"/>
      <c r="H32" s="216"/>
    </row>
    <row r="33" spans="1:8">
      <c r="A33" s="204">
        <v>5</v>
      </c>
      <c r="B33" s="217" t="str">
        <f>INDEX('Date Drivers'!$A$1:$B$368,Database!C34,2)</f>
        <v>Interface Module 2</v>
      </c>
      <c r="C33" s="206"/>
      <c r="D33" s="207">
        <v>1</v>
      </c>
      <c r="E33" s="208" t="str">
        <f ca="1">VLOOKUP(D33,D34:F43,2,FALSE)</f>
        <v>Four 1 Gbps RJ45 copper 10/100BASE-TX/1000BASE-T Ethernet ports</v>
      </c>
      <c r="F33" s="207" t="str">
        <f ca="1">VLOOKUP(D33,D34:F43,3,FALSE)</f>
        <v>A</v>
      </c>
      <c r="G33" s="207">
        <f ca="1">VLOOKUP(D33,D34:H43,4,FALSE)</f>
        <v>0</v>
      </c>
      <c r="H33" s="207" t="str">
        <f ca="1">VLOOKUP(D33,D34:H43,5,FALSE)</f>
        <v>Y</v>
      </c>
    </row>
    <row r="34" spans="1:8">
      <c r="A34" s="203"/>
      <c r="B34" s="203"/>
      <c r="C34" s="218">
        <f>MATCH(A33,'Date Drivers'!$A$1:$A$368,0)</f>
        <v>32</v>
      </c>
      <c r="D34" s="218">
        <v>1</v>
      </c>
      <c r="E34" s="219" t="str">
        <f t="shared" ref="E34:E43" ca="1" si="7">INDEX(INDIRECT($K$1&amp;":"&amp;$K$2),C34,1)</f>
        <v>Four 1 Gbps RJ45 copper 10/100BASE-TX/1000BASE-T Ethernet ports</v>
      </c>
      <c r="F34" s="218" t="str">
        <f t="shared" ref="F34:F43" ca="1" si="8">INDEX(INDIRECT($K$1&amp;":"&amp;$K$2),C34,2)</f>
        <v>A</v>
      </c>
      <c r="G34" s="210">
        <f t="shared" ref="G34:G43" ca="1" si="9">INDEX(INDIRECT($K$1&amp;":"&amp;$K$2),C34,3)</f>
        <v>0</v>
      </c>
      <c r="H34" s="211" t="str">
        <f t="shared" ref="H34:H43" ca="1" si="10">INDEX(INDIRECT($K$1&amp;":"&amp;$K$2),C34,4)</f>
        <v>Y</v>
      </c>
    </row>
    <row r="35" spans="1:8">
      <c r="B35" s="203"/>
      <c r="C35" s="9">
        <f t="shared" ref="C35:C43" si="11">C34+1</f>
        <v>33</v>
      </c>
      <c r="D35" s="9">
        <f t="shared" ref="D35:D41" si="12">D34+1</f>
        <v>2</v>
      </c>
      <c r="E35" s="209" t="str">
        <f t="shared" ca="1" si="7"/>
        <v>Four slots for SFP transceivers</v>
      </c>
      <c r="F35" s="9" t="str">
        <f t="shared" ca="1" si="8"/>
        <v>B</v>
      </c>
      <c r="G35" s="212">
        <f t="shared" ca="1" si="9"/>
        <v>0</v>
      </c>
      <c r="H35" s="213" t="str">
        <f t="shared" ca="1" si="10"/>
        <v>Y</v>
      </c>
    </row>
    <row r="36" spans="1:8">
      <c r="B36" s="203"/>
      <c r="C36" s="9">
        <f t="shared" si="11"/>
        <v>34</v>
      </c>
      <c r="D36" s="9">
        <f t="shared" si="12"/>
        <v>3</v>
      </c>
      <c r="E36" s="209" t="str">
        <f t="shared" ca="1" si="7"/>
        <v>Four 1 Gbps LC-type connector multi mode fiber 1000BASE-SX Ethernet for up to 0.5 km</v>
      </c>
      <c r="F36" s="9" t="str">
        <f t="shared" ca="1" si="8"/>
        <v>C</v>
      </c>
      <c r="G36" s="212">
        <f t="shared" ca="1" si="9"/>
        <v>0</v>
      </c>
      <c r="H36" s="213" t="str">
        <f t="shared" ca="1" si="10"/>
        <v>Y</v>
      </c>
    </row>
    <row r="37" spans="1:8">
      <c r="B37" s="203"/>
      <c r="C37" s="9">
        <f t="shared" si="11"/>
        <v>35</v>
      </c>
      <c r="D37" s="9">
        <f t="shared" si="12"/>
        <v>4</v>
      </c>
      <c r="E37" s="209" t="str">
        <f t="shared" ca="1" si="7"/>
        <v>Four 1 Gbps LC-type connector single mode fiber 1000BASE-LX Ethernet for up to 10 km</v>
      </c>
      <c r="F37" s="9" t="str">
        <f t="shared" ca="1" si="8"/>
        <v>D</v>
      </c>
      <c r="G37" s="212">
        <f t="shared" ca="1" si="9"/>
        <v>0</v>
      </c>
      <c r="H37" s="213" t="str">
        <f t="shared" ca="1" si="10"/>
        <v>Y</v>
      </c>
    </row>
    <row r="38" spans="1:8">
      <c r="B38" s="203"/>
      <c r="C38" s="9">
        <f t="shared" si="11"/>
        <v>36</v>
      </c>
      <c r="D38" s="9">
        <f t="shared" si="12"/>
        <v>5</v>
      </c>
      <c r="E38" s="209" t="str">
        <f t="shared" ca="1" si="7"/>
        <v>Four 1 Gbps LC-type connector single mode fiber 1000BASE-ZX Ethernet for up to 40 km</v>
      </c>
      <c r="F38" s="9" t="str">
        <f t="shared" ca="1" si="8"/>
        <v>E</v>
      </c>
      <c r="G38" s="212">
        <f t="shared" ca="1" si="9"/>
        <v>0</v>
      </c>
      <c r="H38" s="213" t="str">
        <f t="shared" ca="1" si="10"/>
        <v>Y</v>
      </c>
    </row>
    <row r="39" spans="1:8">
      <c r="B39" s="203"/>
      <c r="C39" s="9">
        <f t="shared" si="11"/>
        <v>37</v>
      </c>
      <c r="D39" s="9">
        <f t="shared" si="12"/>
        <v>6</v>
      </c>
      <c r="E39" s="209" t="str">
        <f t="shared" ca="1" si="7"/>
        <v>Four 1 Gbps LC-type connector single mode fiber 1000BASE-ZX Ethernet for up to 80 km</v>
      </c>
      <c r="F39" s="9" t="str">
        <f t="shared" ca="1" si="8"/>
        <v>F</v>
      </c>
      <c r="G39" s="212">
        <f t="shared" ca="1" si="9"/>
        <v>0</v>
      </c>
      <c r="H39" s="213" t="str">
        <f t="shared" ca="1" si="10"/>
        <v>Y</v>
      </c>
    </row>
    <row r="40" spans="1:8">
      <c r="B40" s="203"/>
      <c r="C40" s="9">
        <f t="shared" si="11"/>
        <v>38</v>
      </c>
      <c r="D40" s="9">
        <f t="shared" si="12"/>
        <v>7</v>
      </c>
      <c r="E40" s="209" t="str">
        <f t="shared" ca="1" si="7"/>
        <v>Four 100 Mbps LC-type connector multi mode fiber 100BASE-FX Ethernet for up to 2 km</v>
      </c>
      <c r="F40" s="9" t="str">
        <f t="shared" ca="1" si="8"/>
        <v>H</v>
      </c>
      <c r="G40" s="212">
        <f t="shared" ca="1" si="9"/>
        <v>0</v>
      </c>
      <c r="H40" s="213" t="str">
        <f t="shared" ca="1" si="10"/>
        <v>Y</v>
      </c>
    </row>
    <row r="41" spans="1:8">
      <c r="B41" s="203"/>
      <c r="C41" s="9">
        <f t="shared" si="11"/>
        <v>39</v>
      </c>
      <c r="D41" s="9">
        <f t="shared" si="12"/>
        <v>8</v>
      </c>
      <c r="E41" s="209" t="str">
        <f t="shared" ca="1" si="7"/>
        <v>Four RJ45 copper 10/100BASE-TX</v>
      </c>
      <c r="F41" s="9" t="str">
        <f t="shared" ca="1" si="8"/>
        <v>I</v>
      </c>
      <c r="G41" s="212">
        <f t="shared" ca="1" si="9"/>
        <v>0</v>
      </c>
      <c r="H41" s="213" t="str">
        <f t="shared" ca="1" si="10"/>
        <v>Y</v>
      </c>
    </row>
    <row r="42" spans="1:8">
      <c r="B42" s="203"/>
      <c r="C42" s="9">
        <f t="shared" si="11"/>
        <v>40</v>
      </c>
      <c r="D42" s="9">
        <f>D41+1</f>
        <v>9</v>
      </c>
      <c r="E42" s="209" t="str">
        <f t="shared" ca="1" si="7"/>
        <v>Not installed</v>
      </c>
      <c r="F42" s="9" t="str">
        <f t="shared" ca="1" si="8"/>
        <v>X</v>
      </c>
      <c r="G42" s="212">
        <f t="shared" ca="1" si="9"/>
        <v>0</v>
      </c>
      <c r="H42" s="213" t="str">
        <f t="shared" ca="1" si="10"/>
        <v>Y</v>
      </c>
    </row>
    <row r="43" spans="1:8" ht="24">
      <c r="B43" s="203"/>
      <c r="C43" s="9">
        <f t="shared" si="11"/>
        <v>41</v>
      </c>
      <c r="D43" s="9">
        <f>D42+1</f>
        <v>10</v>
      </c>
      <c r="E43" s="209" t="str">
        <f t="shared" ca="1" si="7"/>
        <v>Four 1 Gbps RJ45 SFP Transceivers 10/100BASE-TX/1000BASE-T Ethernet ports (Not CE marked) (Withdraw)</v>
      </c>
      <c r="F43" s="9" t="str">
        <f t="shared" ca="1" si="8"/>
        <v>J</v>
      </c>
      <c r="G43" s="212">
        <f t="shared" ca="1" si="9"/>
        <v>0</v>
      </c>
      <c r="H43" s="213" t="str">
        <f t="shared" ca="1" si="10"/>
        <v>Y</v>
      </c>
    </row>
    <row r="44" spans="1:8">
      <c r="B44" s="203"/>
      <c r="C44" s="9"/>
      <c r="D44" s="9"/>
      <c r="E44" s="209"/>
      <c r="F44" s="9"/>
      <c r="G44" s="215"/>
      <c r="H44" s="216"/>
    </row>
    <row r="45" spans="1:8">
      <c r="A45" s="204">
        <v>6</v>
      </c>
      <c r="B45" s="217" t="str">
        <f>INDEX('Date Drivers'!$A$1:$B$368,Database!C46,2)</f>
        <v>Interface Module 3</v>
      </c>
      <c r="C45" s="206"/>
      <c r="D45" s="207">
        <v>9</v>
      </c>
      <c r="E45" s="208" t="str">
        <f ca="1">VLOOKUP(D45,D46:F55,2,FALSE)</f>
        <v>Not installed</v>
      </c>
      <c r="F45" s="207" t="str">
        <f ca="1">VLOOKUP(D45,D46:F55,3,FALSE)</f>
        <v>X</v>
      </c>
      <c r="G45" s="207">
        <f ca="1">VLOOKUP(D45,D46:H55,4,FALSE)</f>
        <v>0</v>
      </c>
      <c r="H45" s="207" t="str">
        <f ca="1">VLOOKUP(D45,D46:H55,5,FALSE)</f>
        <v>Y</v>
      </c>
    </row>
    <row r="46" spans="1:8">
      <c r="A46" s="203"/>
      <c r="B46" s="203"/>
      <c r="C46" s="218">
        <f>MATCH(A45,'Date Drivers'!$A$1:$A$368,0)</f>
        <v>43</v>
      </c>
      <c r="D46" s="1">
        <v>1</v>
      </c>
      <c r="E46" s="219" t="str">
        <f t="shared" ref="E46:E55" ca="1" si="13">INDEX(INDIRECT($K$1&amp;":"&amp;$K$2),C46,1)</f>
        <v>Four 1 Gbps RJ45 copper 10/100BASE-TX/1000BASE-T Ethernet ports</v>
      </c>
      <c r="F46" s="218" t="str">
        <f t="shared" ref="F46:F55" ca="1" si="14">INDEX(INDIRECT($K$1&amp;":"&amp;$K$2),C46,2)</f>
        <v>A</v>
      </c>
      <c r="G46" s="210">
        <f t="shared" ref="G46:G55" ca="1" si="15">INDEX(INDIRECT($K$1&amp;":"&amp;$K$2),C46,3)</f>
        <v>0</v>
      </c>
      <c r="H46" s="211" t="str">
        <f t="shared" ref="H46:H55" ca="1" si="16">INDEX(INDIRECT($K$1&amp;":"&amp;$K$2),C46,4)</f>
        <v>Y</v>
      </c>
    </row>
    <row r="47" spans="1:8">
      <c r="B47" s="203"/>
      <c r="C47" s="9">
        <f t="shared" ref="C47:C55" si="17">C46+1</f>
        <v>44</v>
      </c>
      <c r="D47" s="1">
        <f t="shared" ref="D47:D53" si="18">D46+1</f>
        <v>2</v>
      </c>
      <c r="E47" s="209" t="str">
        <f t="shared" ca="1" si="13"/>
        <v>Four slots for SFP transceivers</v>
      </c>
      <c r="F47" s="9" t="str">
        <f t="shared" ca="1" si="14"/>
        <v>B</v>
      </c>
      <c r="G47" s="212">
        <f t="shared" ca="1" si="15"/>
        <v>0</v>
      </c>
      <c r="H47" s="213" t="str">
        <f t="shared" ca="1" si="16"/>
        <v>Y</v>
      </c>
    </row>
    <row r="48" spans="1:8">
      <c r="B48" s="203"/>
      <c r="C48" s="9">
        <f t="shared" si="17"/>
        <v>45</v>
      </c>
      <c r="D48" s="1">
        <f t="shared" si="18"/>
        <v>3</v>
      </c>
      <c r="E48" s="209" t="str">
        <f t="shared" ca="1" si="13"/>
        <v>Four 1 Gbps LC-type connector multi mode fiber 1000BASE-SX Ethernet for up to 0.5 km</v>
      </c>
      <c r="F48" s="9" t="str">
        <f t="shared" ca="1" si="14"/>
        <v>C</v>
      </c>
      <c r="G48" s="212">
        <f t="shared" ca="1" si="15"/>
        <v>0</v>
      </c>
      <c r="H48" s="213" t="str">
        <f t="shared" ca="1" si="16"/>
        <v>Y</v>
      </c>
    </row>
    <row r="49" spans="1:8">
      <c r="B49" s="203"/>
      <c r="C49" s="9">
        <f t="shared" si="17"/>
        <v>46</v>
      </c>
      <c r="D49" s="1">
        <f t="shared" si="18"/>
        <v>4</v>
      </c>
      <c r="E49" s="209" t="str">
        <f t="shared" ca="1" si="13"/>
        <v>Four 1 Gbps LC-type connector single mode fiber 1000BASE-LX Ethernet for up to 10 km</v>
      </c>
      <c r="F49" s="9" t="str">
        <f t="shared" ca="1" si="14"/>
        <v>D</v>
      </c>
      <c r="G49" s="212">
        <f t="shared" ca="1" si="15"/>
        <v>0</v>
      </c>
      <c r="H49" s="213" t="str">
        <f t="shared" ca="1" si="16"/>
        <v>Y</v>
      </c>
    </row>
    <row r="50" spans="1:8">
      <c r="B50" s="203"/>
      <c r="C50" s="9">
        <f t="shared" si="17"/>
        <v>47</v>
      </c>
      <c r="D50" s="1">
        <f t="shared" si="18"/>
        <v>5</v>
      </c>
      <c r="E50" s="209" t="str">
        <f t="shared" ca="1" si="13"/>
        <v>Four 1 Gbps LC-type connector single mode fiber 1000BASE-ZX Ethernet for up to 40 km</v>
      </c>
      <c r="F50" s="9" t="str">
        <f t="shared" ca="1" si="14"/>
        <v>E</v>
      </c>
      <c r="G50" s="212">
        <f t="shared" ca="1" si="15"/>
        <v>0</v>
      </c>
      <c r="H50" s="213" t="str">
        <f t="shared" ca="1" si="16"/>
        <v>Y</v>
      </c>
    </row>
    <row r="51" spans="1:8">
      <c r="B51" s="203"/>
      <c r="C51" s="9">
        <f t="shared" si="17"/>
        <v>48</v>
      </c>
      <c r="D51" s="1">
        <f t="shared" si="18"/>
        <v>6</v>
      </c>
      <c r="E51" s="209" t="str">
        <f t="shared" ca="1" si="13"/>
        <v>Four 1 Gbps LC-type connector single mode fiber 1000BASE-ZX Ethernet for up to 80 km</v>
      </c>
      <c r="F51" s="9" t="str">
        <f t="shared" ca="1" si="14"/>
        <v>F</v>
      </c>
      <c r="G51" s="212">
        <f t="shared" ca="1" si="15"/>
        <v>0</v>
      </c>
      <c r="H51" s="213" t="str">
        <f t="shared" ca="1" si="16"/>
        <v>Y</v>
      </c>
    </row>
    <row r="52" spans="1:8">
      <c r="B52" s="203"/>
      <c r="C52" s="9">
        <f t="shared" si="17"/>
        <v>49</v>
      </c>
      <c r="D52" s="1">
        <f t="shared" si="18"/>
        <v>7</v>
      </c>
      <c r="E52" s="209" t="str">
        <f t="shared" ca="1" si="13"/>
        <v>Four 100 Mbps LC-type connector multi mode fiber 100BASE-FX Ethernet for up to 2 km</v>
      </c>
      <c r="F52" s="9" t="str">
        <f t="shared" ca="1" si="14"/>
        <v>H</v>
      </c>
      <c r="G52" s="212">
        <f t="shared" ca="1" si="15"/>
        <v>0</v>
      </c>
      <c r="H52" s="213" t="str">
        <f t="shared" ca="1" si="16"/>
        <v>Y</v>
      </c>
    </row>
    <row r="53" spans="1:8">
      <c r="C53" s="9">
        <f t="shared" si="17"/>
        <v>50</v>
      </c>
      <c r="D53" s="1">
        <f t="shared" si="18"/>
        <v>8</v>
      </c>
      <c r="E53" s="209" t="str">
        <f t="shared" ca="1" si="13"/>
        <v>Four RJ45 copper 10/100BASE-TX</v>
      </c>
      <c r="F53" s="9" t="str">
        <f t="shared" ca="1" si="14"/>
        <v>I</v>
      </c>
      <c r="G53" s="212">
        <f t="shared" ca="1" si="15"/>
        <v>0</v>
      </c>
      <c r="H53" s="213" t="str">
        <f t="shared" ca="1" si="16"/>
        <v>Y</v>
      </c>
    </row>
    <row r="54" spans="1:8">
      <c r="C54" s="9">
        <f t="shared" si="17"/>
        <v>51</v>
      </c>
      <c r="D54" s="1">
        <f>D53+1</f>
        <v>9</v>
      </c>
      <c r="E54" s="209" t="str">
        <f t="shared" ca="1" si="13"/>
        <v>Not installed</v>
      </c>
      <c r="F54" s="9" t="str">
        <f t="shared" ca="1" si="14"/>
        <v>X</v>
      </c>
      <c r="G54" s="212">
        <f t="shared" ca="1" si="15"/>
        <v>0</v>
      </c>
      <c r="H54" s="213" t="str">
        <f t="shared" ca="1" si="16"/>
        <v>Y</v>
      </c>
    </row>
    <row r="55" spans="1:8" ht="24">
      <c r="C55" s="9">
        <f t="shared" si="17"/>
        <v>52</v>
      </c>
      <c r="D55" s="1">
        <f>D54+1</f>
        <v>10</v>
      </c>
      <c r="E55" s="209" t="str">
        <f t="shared" ca="1" si="13"/>
        <v>Four 1 Gbps RJ45 SFP Transceivers 10/100BASE-TX/1000BASE-T Ethernet ports (Not CE marked) (Withdraw)</v>
      </c>
      <c r="F55" s="9" t="str">
        <f t="shared" ca="1" si="14"/>
        <v>J</v>
      </c>
      <c r="G55" s="212">
        <f t="shared" ca="1" si="15"/>
        <v>0</v>
      </c>
      <c r="H55" s="213" t="str">
        <f t="shared" ca="1" si="16"/>
        <v>Y</v>
      </c>
    </row>
    <row r="56" spans="1:8">
      <c r="C56" s="11"/>
      <c r="E56" s="220"/>
      <c r="F56" s="11"/>
      <c r="G56" s="215"/>
      <c r="H56" s="216"/>
    </row>
    <row r="57" spans="1:8">
      <c r="A57" s="204">
        <v>7</v>
      </c>
      <c r="B57" s="217" t="str">
        <f>INDEX('Date Drivers'!$A$1:$B$368,Database!C58,2)</f>
        <v>Interface Module 4</v>
      </c>
      <c r="C57" s="206"/>
      <c r="D57" s="207">
        <v>9</v>
      </c>
      <c r="E57" s="208" t="str">
        <f ca="1">VLOOKUP(D57,D58:F67,2,FALSE)</f>
        <v>Not installed</v>
      </c>
      <c r="F57" s="207" t="str">
        <f ca="1">VLOOKUP(D57,D58:F67,3,FALSE)</f>
        <v>X</v>
      </c>
      <c r="G57" s="207">
        <f ca="1">VLOOKUP(D57,D58:H67,4,FALSE)</f>
        <v>0</v>
      </c>
      <c r="H57" s="207" t="str">
        <f ca="1">VLOOKUP(D57,D58:H67,5,FALSE)</f>
        <v>Y</v>
      </c>
    </row>
    <row r="58" spans="1:8">
      <c r="A58" s="203"/>
      <c r="B58" s="203"/>
      <c r="C58" s="218">
        <f>MATCH(A57,'Date Drivers'!$A$1:$A$368,0)</f>
        <v>54</v>
      </c>
      <c r="D58" s="218">
        <v>1</v>
      </c>
      <c r="E58" s="219" t="str">
        <f t="shared" ref="E58:E67" ca="1" si="19">INDEX(INDIRECT($K$1&amp;":"&amp;$K$2),C58,1)</f>
        <v>Four 1 Gbps RJ45 copper 10/100BASE-TX/1000BASE-T Ethernet ports</v>
      </c>
      <c r="F58" s="218" t="str">
        <f t="shared" ref="F58:F67" ca="1" si="20">INDEX(INDIRECT($K$1&amp;":"&amp;$K$2),C58,2)</f>
        <v>A</v>
      </c>
      <c r="G58" s="210">
        <f t="shared" ref="G58:G67" ca="1" si="21">INDEX(INDIRECT($K$1&amp;":"&amp;$K$2),C58,3)</f>
        <v>0</v>
      </c>
      <c r="H58" s="211" t="str">
        <f t="shared" ref="H58:H67" ca="1" si="22">INDEX(INDIRECT($K$1&amp;":"&amp;$K$2),C58,4)</f>
        <v>Y</v>
      </c>
    </row>
    <row r="59" spans="1:8">
      <c r="B59" s="203"/>
      <c r="C59" s="9">
        <f t="shared" ref="C59:C67" si="23">C58+1</f>
        <v>55</v>
      </c>
      <c r="D59" s="1">
        <f t="shared" ref="D59:D65" si="24">D58+1</f>
        <v>2</v>
      </c>
      <c r="E59" s="209" t="str">
        <f t="shared" ca="1" si="19"/>
        <v>Four slots for SFP transceivers</v>
      </c>
      <c r="F59" s="9" t="str">
        <f t="shared" ca="1" si="20"/>
        <v>B</v>
      </c>
      <c r="G59" s="212">
        <f t="shared" ca="1" si="21"/>
        <v>0</v>
      </c>
      <c r="H59" s="213" t="str">
        <f t="shared" ca="1" si="22"/>
        <v>Y</v>
      </c>
    </row>
    <row r="60" spans="1:8">
      <c r="B60" s="203"/>
      <c r="C60" s="9">
        <f t="shared" si="23"/>
        <v>56</v>
      </c>
      <c r="D60" s="1">
        <f t="shared" si="24"/>
        <v>3</v>
      </c>
      <c r="E60" s="209" t="str">
        <f t="shared" ca="1" si="19"/>
        <v>Four 1 Gbps LC-type connector multi mode fiber 1000BASE-SX Ethernet for up to 0.5 km</v>
      </c>
      <c r="F60" s="9" t="str">
        <f t="shared" ca="1" si="20"/>
        <v>C</v>
      </c>
      <c r="G60" s="212">
        <f t="shared" ca="1" si="21"/>
        <v>0</v>
      </c>
      <c r="H60" s="213" t="str">
        <f t="shared" ca="1" si="22"/>
        <v>Y</v>
      </c>
    </row>
    <row r="61" spans="1:8">
      <c r="B61" s="203"/>
      <c r="C61" s="9">
        <f t="shared" si="23"/>
        <v>57</v>
      </c>
      <c r="D61" s="1">
        <f t="shared" si="24"/>
        <v>4</v>
      </c>
      <c r="E61" s="209" t="str">
        <f t="shared" ca="1" si="19"/>
        <v>Four 1 Gbps LC-type connector single mode fiber 1000BASE-LX Ethernet for up to 10 km</v>
      </c>
      <c r="F61" s="9" t="str">
        <f t="shared" ca="1" si="20"/>
        <v>D</v>
      </c>
      <c r="G61" s="212">
        <f t="shared" ca="1" si="21"/>
        <v>0</v>
      </c>
      <c r="H61" s="213" t="str">
        <f t="shared" ca="1" si="22"/>
        <v>Y</v>
      </c>
    </row>
    <row r="62" spans="1:8">
      <c r="B62" s="203"/>
      <c r="C62" s="9">
        <f t="shared" si="23"/>
        <v>58</v>
      </c>
      <c r="D62" s="1">
        <f t="shared" si="24"/>
        <v>5</v>
      </c>
      <c r="E62" s="209" t="str">
        <f t="shared" ca="1" si="19"/>
        <v>Four 1 Gbps LC-type connector single mode fiber 1000BASE-ZX Ethernet for up to 40 km</v>
      </c>
      <c r="F62" s="9" t="str">
        <f t="shared" ca="1" si="20"/>
        <v>E</v>
      </c>
      <c r="G62" s="212">
        <f t="shared" ca="1" si="21"/>
        <v>0</v>
      </c>
      <c r="H62" s="213" t="str">
        <f t="shared" ca="1" si="22"/>
        <v>Y</v>
      </c>
    </row>
    <row r="63" spans="1:8">
      <c r="B63" s="203"/>
      <c r="C63" s="9">
        <f t="shared" si="23"/>
        <v>59</v>
      </c>
      <c r="D63" s="1">
        <f t="shared" si="24"/>
        <v>6</v>
      </c>
      <c r="E63" s="209" t="str">
        <f t="shared" ca="1" si="19"/>
        <v>Four 1 Gbps LC-type connector single mode fiber 1000BASE-ZX Ethernet for up to 80 km</v>
      </c>
      <c r="F63" s="9" t="str">
        <f t="shared" ca="1" si="20"/>
        <v>F</v>
      </c>
      <c r="G63" s="212">
        <f t="shared" ca="1" si="21"/>
        <v>0</v>
      </c>
      <c r="H63" s="213" t="str">
        <f t="shared" ca="1" si="22"/>
        <v>Y</v>
      </c>
    </row>
    <row r="64" spans="1:8">
      <c r="B64" s="203"/>
      <c r="C64" s="9">
        <f t="shared" si="23"/>
        <v>60</v>
      </c>
      <c r="D64" s="1">
        <f t="shared" si="24"/>
        <v>7</v>
      </c>
      <c r="E64" s="209" t="str">
        <f t="shared" ca="1" si="19"/>
        <v>Four 100 Mbps LC-type connector multi mode fiber 100BASE-FX Ethernet for up to 2 km</v>
      </c>
      <c r="F64" s="9" t="str">
        <f t="shared" ca="1" si="20"/>
        <v>H</v>
      </c>
      <c r="G64" s="212">
        <f t="shared" ca="1" si="21"/>
        <v>0</v>
      </c>
      <c r="H64" s="213" t="str">
        <f t="shared" ca="1" si="22"/>
        <v>Y</v>
      </c>
    </row>
    <row r="65" spans="1:8">
      <c r="B65" s="203"/>
      <c r="C65" s="9">
        <f t="shared" si="23"/>
        <v>61</v>
      </c>
      <c r="D65" s="1">
        <f t="shared" si="24"/>
        <v>8</v>
      </c>
      <c r="E65" s="209" t="str">
        <f t="shared" ca="1" si="19"/>
        <v>Four RJ45 copper 10/100BASE-TX</v>
      </c>
      <c r="F65" s="9" t="str">
        <f t="shared" ca="1" si="20"/>
        <v>I</v>
      </c>
      <c r="G65" s="212">
        <f t="shared" ca="1" si="21"/>
        <v>0</v>
      </c>
      <c r="H65" s="213" t="str">
        <f t="shared" ca="1" si="22"/>
        <v>Y</v>
      </c>
    </row>
    <row r="66" spans="1:8">
      <c r="B66" s="203"/>
      <c r="C66" s="9">
        <f t="shared" si="23"/>
        <v>62</v>
      </c>
      <c r="D66" s="1">
        <f>D65+1</f>
        <v>9</v>
      </c>
      <c r="E66" s="209" t="str">
        <f t="shared" ca="1" si="19"/>
        <v>Not installed</v>
      </c>
      <c r="F66" s="9" t="str">
        <f t="shared" ca="1" si="20"/>
        <v>X</v>
      </c>
      <c r="G66" s="212">
        <f t="shared" ca="1" si="21"/>
        <v>0</v>
      </c>
      <c r="H66" s="213" t="str">
        <f t="shared" ca="1" si="22"/>
        <v>Y</v>
      </c>
    </row>
    <row r="67" spans="1:8" ht="24">
      <c r="B67" s="203"/>
      <c r="C67" s="9">
        <f t="shared" si="23"/>
        <v>63</v>
      </c>
      <c r="D67" s="1">
        <f>D66+1</f>
        <v>10</v>
      </c>
      <c r="E67" s="209" t="str">
        <f t="shared" ca="1" si="19"/>
        <v>Four 1 Gbps RJ45 SFP Transceivers 10/100BASE-TX/1000BASE-T Ethernet ports (Not CE marked) (Withdraw)</v>
      </c>
      <c r="F67" s="9" t="str">
        <f t="shared" ca="1" si="20"/>
        <v>J</v>
      </c>
      <c r="G67" s="212">
        <f t="shared" ca="1" si="21"/>
        <v>0</v>
      </c>
      <c r="H67" s="213" t="str">
        <f t="shared" ca="1" si="22"/>
        <v>Y</v>
      </c>
    </row>
    <row r="68" spans="1:8">
      <c r="C68" s="11"/>
      <c r="D68" s="11"/>
      <c r="E68" s="220"/>
      <c r="F68" s="11"/>
      <c r="G68" s="215"/>
      <c r="H68" s="216"/>
    </row>
    <row r="69" spans="1:8">
      <c r="A69" s="204">
        <v>8</v>
      </c>
      <c r="B69" s="217" t="str">
        <f>INDEX('Date Drivers'!$A$1:$B$368,Database!C70,2)</f>
        <v>Interface Module 5</v>
      </c>
      <c r="C69" s="206"/>
      <c r="D69" s="207">
        <v>9</v>
      </c>
      <c r="E69" s="221" t="str">
        <f ca="1">VLOOKUP(D69,D70:H80,2,FALSE)</f>
        <v>Not installed</v>
      </c>
      <c r="F69" s="207" t="str">
        <f ca="1">VLOOKUP(D69,D70:H80,3,FALSE)</f>
        <v>X</v>
      </c>
      <c r="G69" s="207">
        <f ca="1">VLOOKUP(D69,D70:H80,4,FALSE)</f>
        <v>0</v>
      </c>
      <c r="H69" s="207" t="str">
        <f ca="1">VLOOKUP(D69,D70:H80,5,FALSE)</f>
        <v>Y</v>
      </c>
    </row>
    <row r="70" spans="1:8">
      <c r="A70" s="222"/>
      <c r="B70" s="200"/>
      <c r="C70" s="218">
        <f>MATCH(A69,'Date Drivers'!$A$1:$A$368,0)</f>
        <v>65</v>
      </c>
      <c r="D70" s="218">
        <v>1</v>
      </c>
      <c r="E70" s="223" t="str">
        <f t="shared" ref="E70:E79" ca="1" si="25">INDEX(INDIRECT($K$1&amp;":"&amp;$K$2),C70,1)</f>
        <v>Four 1 Gbps RJ45 copper 10/100BASE-TX/1000BASE-T Ethernet ports</v>
      </c>
      <c r="F70" s="9" t="str">
        <f t="shared" ref="F70:F79" ca="1" si="26">INDEX(INDIRECT($K$1&amp;":"&amp;$K$2),C70,2)</f>
        <v>A</v>
      </c>
      <c r="G70" s="210">
        <f t="shared" ref="G70:G79" ca="1" si="27">INDEX(INDIRECT($K$1&amp;":"&amp;$K$2),C70,3)</f>
        <v>0</v>
      </c>
      <c r="H70" s="211" t="str">
        <f t="shared" ref="H70:H79" ca="1" si="28">INDEX(INDIRECT($K$1&amp;":"&amp;$K$2),C70,4)</f>
        <v>Y</v>
      </c>
    </row>
    <row r="71" spans="1:8">
      <c r="A71" s="222"/>
      <c r="B71" s="200"/>
      <c r="C71" s="9">
        <f t="shared" ref="C71:C79" si="29">C70+1</f>
        <v>66</v>
      </c>
      <c r="D71" s="9">
        <f t="shared" ref="D71:D77" si="30">D70+1</f>
        <v>2</v>
      </c>
      <c r="E71" s="223" t="str">
        <f t="shared" ca="1" si="25"/>
        <v>Four slots for SFP transceivers</v>
      </c>
      <c r="F71" s="9" t="str">
        <f t="shared" ca="1" si="26"/>
        <v>B</v>
      </c>
      <c r="G71" s="212">
        <f t="shared" ca="1" si="27"/>
        <v>0</v>
      </c>
      <c r="H71" s="213" t="str">
        <f t="shared" ca="1" si="28"/>
        <v>Y</v>
      </c>
    </row>
    <row r="72" spans="1:8">
      <c r="A72" s="222"/>
      <c r="B72" s="200"/>
      <c r="C72" s="9">
        <f t="shared" si="29"/>
        <v>67</v>
      </c>
      <c r="D72" s="9">
        <f t="shared" si="30"/>
        <v>3</v>
      </c>
      <c r="E72" s="223" t="str">
        <f t="shared" ca="1" si="25"/>
        <v>Four 1 Gbps LC-type connector multi mode fiber 1000BASE-SX Ethernet for up to 0.5 km</v>
      </c>
      <c r="F72" s="9" t="str">
        <f t="shared" ca="1" si="26"/>
        <v>C</v>
      </c>
      <c r="G72" s="212">
        <f t="shared" ca="1" si="27"/>
        <v>0</v>
      </c>
      <c r="H72" s="213" t="str">
        <f t="shared" ca="1" si="28"/>
        <v>Y</v>
      </c>
    </row>
    <row r="73" spans="1:8">
      <c r="A73" s="222"/>
      <c r="B73" s="200"/>
      <c r="C73" s="9">
        <f t="shared" si="29"/>
        <v>68</v>
      </c>
      <c r="D73" s="9">
        <f t="shared" si="30"/>
        <v>4</v>
      </c>
      <c r="E73" s="223" t="str">
        <f t="shared" ca="1" si="25"/>
        <v>Four 1 Gbps LC-type connector single mode fiber 1000BASE-LX Ethernet for up to 10 km</v>
      </c>
      <c r="F73" s="9" t="str">
        <f t="shared" ca="1" si="26"/>
        <v>D</v>
      </c>
      <c r="G73" s="212">
        <f t="shared" ca="1" si="27"/>
        <v>0</v>
      </c>
      <c r="H73" s="213" t="str">
        <f t="shared" ca="1" si="28"/>
        <v>Y</v>
      </c>
    </row>
    <row r="74" spans="1:8">
      <c r="A74" s="222"/>
      <c r="B74" s="200"/>
      <c r="C74" s="9">
        <f t="shared" si="29"/>
        <v>69</v>
      </c>
      <c r="D74" s="9">
        <f t="shared" si="30"/>
        <v>5</v>
      </c>
      <c r="E74" s="223" t="str">
        <f t="shared" ca="1" si="25"/>
        <v>Four 1 Gbps LC-type connector single mode fiber 1000BASE-ZX Ethernet for up to 40 km</v>
      </c>
      <c r="F74" s="9" t="str">
        <f t="shared" ca="1" si="26"/>
        <v>E</v>
      </c>
      <c r="G74" s="212">
        <f t="shared" ca="1" si="27"/>
        <v>0</v>
      </c>
      <c r="H74" s="213" t="str">
        <f t="shared" ca="1" si="28"/>
        <v>Y</v>
      </c>
    </row>
    <row r="75" spans="1:8">
      <c r="A75" s="222"/>
      <c r="B75" s="200"/>
      <c r="C75" s="9">
        <f t="shared" si="29"/>
        <v>70</v>
      </c>
      <c r="D75" s="9">
        <f t="shared" si="30"/>
        <v>6</v>
      </c>
      <c r="E75" s="223" t="str">
        <f t="shared" ca="1" si="25"/>
        <v>Four 1 Gbps LC-type connector single mode fiber 1000BASE-ZX Ethernet for up to 80 km</v>
      </c>
      <c r="F75" s="9" t="str">
        <f t="shared" ca="1" si="26"/>
        <v>F</v>
      </c>
      <c r="G75" s="212">
        <f t="shared" ca="1" si="27"/>
        <v>0</v>
      </c>
      <c r="H75" s="213" t="str">
        <f t="shared" ca="1" si="28"/>
        <v>Y</v>
      </c>
    </row>
    <row r="76" spans="1:8">
      <c r="A76" s="222"/>
      <c r="B76" s="200"/>
      <c r="C76" s="9">
        <f t="shared" si="29"/>
        <v>71</v>
      </c>
      <c r="D76" s="9">
        <f t="shared" si="30"/>
        <v>7</v>
      </c>
      <c r="E76" s="223" t="str">
        <f t="shared" ca="1" si="25"/>
        <v>Four 100 Mbps LC-type connector multi mode fiber 100BASE-FX Ethernet for up to 2 km</v>
      </c>
      <c r="F76" s="9" t="str">
        <f t="shared" ca="1" si="26"/>
        <v>H</v>
      </c>
      <c r="G76" s="212">
        <f t="shared" ca="1" si="27"/>
        <v>0</v>
      </c>
      <c r="H76" s="213" t="str">
        <f t="shared" ca="1" si="28"/>
        <v>Y</v>
      </c>
    </row>
    <row r="77" spans="1:8">
      <c r="A77" s="222"/>
      <c r="B77" s="200"/>
      <c r="C77" s="9">
        <f t="shared" si="29"/>
        <v>72</v>
      </c>
      <c r="D77" s="9">
        <f t="shared" si="30"/>
        <v>8</v>
      </c>
      <c r="E77" s="223" t="str">
        <f t="shared" ca="1" si="25"/>
        <v>Four RJ45 copper 10/100BASE-TX</v>
      </c>
      <c r="F77" s="9" t="str">
        <f t="shared" ca="1" si="26"/>
        <v>I</v>
      </c>
      <c r="G77" s="212">
        <f t="shared" ca="1" si="27"/>
        <v>0</v>
      </c>
      <c r="H77" s="213" t="str">
        <f t="shared" ca="1" si="28"/>
        <v>Y</v>
      </c>
    </row>
    <row r="78" spans="1:8">
      <c r="A78" s="222"/>
      <c r="B78" s="200"/>
      <c r="C78" s="9">
        <f t="shared" si="29"/>
        <v>73</v>
      </c>
      <c r="D78" s="9">
        <f>D77+1</f>
        <v>9</v>
      </c>
      <c r="E78" s="223" t="str">
        <f t="shared" ca="1" si="25"/>
        <v>Not installed</v>
      </c>
      <c r="F78" s="9" t="str">
        <f t="shared" ca="1" si="26"/>
        <v>X</v>
      </c>
      <c r="G78" s="212">
        <f t="shared" ca="1" si="27"/>
        <v>0</v>
      </c>
      <c r="H78" s="213" t="str">
        <f t="shared" ca="1" si="28"/>
        <v>Y</v>
      </c>
    </row>
    <row r="79" spans="1:8" ht="24">
      <c r="A79" s="222"/>
      <c r="B79" s="200"/>
      <c r="C79" s="9">
        <f t="shared" si="29"/>
        <v>74</v>
      </c>
      <c r="D79" s="9">
        <f>D78+1</f>
        <v>10</v>
      </c>
      <c r="E79" s="223" t="str">
        <f t="shared" ca="1" si="25"/>
        <v>Four 1 Gbps RJ45 SFP Transceivers 10/100BASE-TX/1000BASE-T Ethernet ports (Not CE marked) (Withdraw)</v>
      </c>
      <c r="F79" s="9" t="str">
        <f t="shared" ca="1" si="26"/>
        <v>J</v>
      </c>
      <c r="G79" s="212">
        <f t="shared" ca="1" si="27"/>
        <v>0</v>
      </c>
      <c r="H79" s="213" t="str">
        <f t="shared" ca="1" si="28"/>
        <v>Y</v>
      </c>
    </row>
    <row r="80" spans="1:8">
      <c r="A80" s="222"/>
      <c r="B80" s="200"/>
      <c r="C80" s="9"/>
      <c r="D80" s="9"/>
      <c r="E80" s="223"/>
      <c r="F80" s="9"/>
      <c r="G80" s="215"/>
      <c r="H80" s="216"/>
    </row>
    <row r="81" spans="1:8">
      <c r="A81" s="204">
        <v>9</v>
      </c>
      <c r="B81" s="217" t="str">
        <f>INDEX('Date Drivers'!$A$1:$B$368,Database!C82,2)</f>
        <v>Interface Module 6</v>
      </c>
      <c r="C81" s="206"/>
      <c r="D81" s="207">
        <v>7</v>
      </c>
      <c r="E81" s="224" t="str">
        <f ca="1">VLOOKUP(D81,D82:H92,2,FALSE)</f>
        <v>Four 100 Mbps LC-type connector multi mode fiber 100BASE-FX Ethernet for up to 2 km</v>
      </c>
      <c r="F81" s="207" t="str">
        <f ca="1">VLOOKUP(D81,D82:H92,3,FALSE)</f>
        <v>H</v>
      </c>
      <c r="G81" s="207">
        <f ca="1">VLOOKUP(D81,D82:H92,4,FALSE)</f>
        <v>0</v>
      </c>
      <c r="H81" s="207" t="str">
        <f ca="1">VLOOKUP(D81,D82:H92,5,FALSE)</f>
        <v>Y</v>
      </c>
    </row>
    <row r="82" spans="1:8">
      <c r="A82" s="222"/>
      <c r="B82" s="200"/>
      <c r="C82" s="218">
        <f>MATCH(A81,'Date Drivers'!$A$1:$A$368,0)</f>
        <v>76</v>
      </c>
      <c r="D82" s="218">
        <v>1</v>
      </c>
      <c r="E82" s="219" t="str">
        <f t="shared" ref="E82:E91" ca="1" si="31">INDEX(INDIRECT($K$1&amp;":"&amp;$K$2),C82,1)</f>
        <v>Four 1 Gbps RJ45 copper 10/100BASE-TX/1000BASE-T Ethernet ports</v>
      </c>
      <c r="F82" s="218" t="str">
        <f t="shared" ref="F82:F91" ca="1" si="32">INDEX(INDIRECT($K$1&amp;":"&amp;$K$2),C82,2)</f>
        <v>A</v>
      </c>
      <c r="G82" s="210">
        <f t="shared" ref="G82:G91" ca="1" si="33">INDEX(INDIRECT($K$1&amp;":"&amp;$K$2),C82,3)</f>
        <v>0</v>
      </c>
      <c r="H82" s="211" t="str">
        <f t="shared" ref="H82:H91" ca="1" si="34">INDEX(INDIRECT($K$1&amp;":"&amp;$K$2),C82,4)</f>
        <v>Y</v>
      </c>
    </row>
    <row r="83" spans="1:8">
      <c r="A83" s="222"/>
      <c r="B83" s="200"/>
      <c r="C83" s="9">
        <f>C82+1</f>
        <v>77</v>
      </c>
      <c r="D83" s="9">
        <f>D82+1</f>
        <v>2</v>
      </c>
      <c r="E83" s="209" t="str">
        <f t="shared" ca="1" si="31"/>
        <v>Four slots for SFP transceivers</v>
      </c>
      <c r="F83" s="9" t="str">
        <f t="shared" ca="1" si="32"/>
        <v>B</v>
      </c>
      <c r="G83" s="212">
        <f t="shared" ca="1" si="33"/>
        <v>0</v>
      </c>
      <c r="H83" s="213" t="str">
        <f t="shared" ca="1" si="34"/>
        <v>Y</v>
      </c>
    </row>
    <row r="84" spans="1:8">
      <c r="A84" s="222"/>
      <c r="B84" s="200"/>
      <c r="C84" s="9">
        <f t="shared" ref="C84:C91" si="35">C83+1</f>
        <v>78</v>
      </c>
      <c r="D84" s="9">
        <f t="shared" ref="D84:D91" si="36">D83+1</f>
        <v>3</v>
      </c>
      <c r="E84" s="209" t="str">
        <f t="shared" ca="1" si="31"/>
        <v>Four 1 Gbps LC-type connector multi mode fiber 1000BASE-SX Ethernet for up to 0.5 km</v>
      </c>
      <c r="F84" s="9" t="str">
        <f t="shared" ca="1" si="32"/>
        <v>C</v>
      </c>
      <c r="G84" s="212">
        <f t="shared" ca="1" si="33"/>
        <v>0</v>
      </c>
      <c r="H84" s="213" t="str">
        <f t="shared" ca="1" si="34"/>
        <v>Y</v>
      </c>
    </row>
    <row r="85" spans="1:8">
      <c r="A85" s="222"/>
      <c r="B85" s="200"/>
      <c r="C85" s="9">
        <f t="shared" si="35"/>
        <v>79</v>
      </c>
      <c r="D85" s="9">
        <f t="shared" si="36"/>
        <v>4</v>
      </c>
      <c r="E85" s="209" t="str">
        <f t="shared" ca="1" si="31"/>
        <v>Four 1 Gbps LC-type connector single mode fiber 1000BASE-LX Ethernet for up to 10 km</v>
      </c>
      <c r="F85" s="9" t="str">
        <f t="shared" ca="1" si="32"/>
        <v>D</v>
      </c>
      <c r="G85" s="212">
        <f t="shared" ca="1" si="33"/>
        <v>0</v>
      </c>
      <c r="H85" s="213" t="str">
        <f t="shared" ca="1" si="34"/>
        <v>Y</v>
      </c>
    </row>
    <row r="86" spans="1:8">
      <c r="A86" s="222"/>
      <c r="B86" s="200"/>
      <c r="C86" s="9">
        <f t="shared" si="35"/>
        <v>80</v>
      </c>
      <c r="D86" s="9">
        <f t="shared" si="36"/>
        <v>5</v>
      </c>
      <c r="E86" s="209" t="str">
        <f t="shared" ca="1" si="31"/>
        <v>Four 1 Gbps LC-type connector single mode fiber 1000BASE-ZX Ethernet for up to 40 km</v>
      </c>
      <c r="F86" s="9" t="str">
        <f t="shared" ca="1" si="32"/>
        <v>E</v>
      </c>
      <c r="G86" s="212">
        <f t="shared" ca="1" si="33"/>
        <v>0</v>
      </c>
      <c r="H86" s="213" t="str">
        <f t="shared" ca="1" si="34"/>
        <v>Y</v>
      </c>
    </row>
    <row r="87" spans="1:8">
      <c r="A87" s="222"/>
      <c r="B87" s="200"/>
      <c r="C87" s="9">
        <f t="shared" si="35"/>
        <v>81</v>
      </c>
      <c r="D87" s="9">
        <f t="shared" si="36"/>
        <v>6</v>
      </c>
      <c r="E87" s="209" t="str">
        <f t="shared" ca="1" si="31"/>
        <v>Four 1 Gbps LC-type connector single mode fiber 1000BASE-ZX Ethernet for up to 80 km</v>
      </c>
      <c r="F87" s="9" t="str">
        <f t="shared" ca="1" si="32"/>
        <v>F</v>
      </c>
      <c r="G87" s="212">
        <f t="shared" ca="1" si="33"/>
        <v>0</v>
      </c>
      <c r="H87" s="213" t="str">
        <f t="shared" ca="1" si="34"/>
        <v>Y</v>
      </c>
    </row>
    <row r="88" spans="1:8">
      <c r="A88" s="222"/>
      <c r="B88" s="200"/>
      <c r="C88" s="9">
        <f t="shared" si="35"/>
        <v>82</v>
      </c>
      <c r="D88" s="9">
        <f t="shared" si="36"/>
        <v>7</v>
      </c>
      <c r="E88" s="209" t="str">
        <f t="shared" ca="1" si="31"/>
        <v>Four 100 Mbps LC-type connector multi mode fiber 100BASE-FX Ethernet for up to 2 km</v>
      </c>
      <c r="F88" s="9" t="str">
        <f t="shared" ca="1" si="32"/>
        <v>H</v>
      </c>
      <c r="G88" s="212">
        <f t="shared" ca="1" si="33"/>
        <v>0</v>
      </c>
      <c r="H88" s="213" t="str">
        <f t="shared" ca="1" si="34"/>
        <v>Y</v>
      </c>
    </row>
    <row r="89" spans="1:8">
      <c r="A89" s="222"/>
      <c r="B89" s="200"/>
      <c r="C89" s="9">
        <f t="shared" si="35"/>
        <v>83</v>
      </c>
      <c r="D89" s="9">
        <f t="shared" si="36"/>
        <v>8</v>
      </c>
      <c r="E89" s="209" t="str">
        <f t="shared" ca="1" si="31"/>
        <v>Four RJ45 copper 10/100BASE-TX</v>
      </c>
      <c r="F89" s="9" t="str">
        <f t="shared" ca="1" si="32"/>
        <v>I</v>
      </c>
      <c r="G89" s="212">
        <f t="shared" ca="1" si="33"/>
        <v>0</v>
      </c>
      <c r="H89" s="213" t="str">
        <f t="shared" ca="1" si="34"/>
        <v>Y</v>
      </c>
    </row>
    <row r="90" spans="1:8">
      <c r="A90" s="222"/>
      <c r="B90" s="200"/>
      <c r="C90" s="9">
        <f t="shared" si="35"/>
        <v>84</v>
      </c>
      <c r="D90" s="9">
        <f t="shared" si="36"/>
        <v>9</v>
      </c>
      <c r="E90" s="209" t="str">
        <f t="shared" ca="1" si="31"/>
        <v>Not installed</v>
      </c>
      <c r="F90" s="9" t="str">
        <f t="shared" ca="1" si="32"/>
        <v>X</v>
      </c>
      <c r="G90" s="212">
        <f t="shared" ca="1" si="33"/>
        <v>0</v>
      </c>
      <c r="H90" s="213" t="str">
        <f t="shared" ca="1" si="34"/>
        <v>Y</v>
      </c>
    </row>
    <row r="91" spans="1:8" ht="24">
      <c r="A91" s="222"/>
      <c r="B91" s="200"/>
      <c r="C91" s="9">
        <f t="shared" si="35"/>
        <v>85</v>
      </c>
      <c r="D91" s="9">
        <f t="shared" si="36"/>
        <v>10</v>
      </c>
      <c r="E91" s="209" t="str">
        <f t="shared" ca="1" si="31"/>
        <v>Four 1 Gbps RJ45 SFP Transceivers 10/100BASE-TX/1000BASE-T Ethernet ports (Not CE marked) (Withdraw)</v>
      </c>
      <c r="F91" s="9" t="str">
        <f t="shared" ca="1" si="32"/>
        <v>J</v>
      </c>
      <c r="G91" s="212">
        <f t="shared" ca="1" si="33"/>
        <v>0</v>
      </c>
      <c r="H91" s="213" t="str">
        <f t="shared" ca="1" si="34"/>
        <v>Y</v>
      </c>
    </row>
    <row r="92" spans="1:8">
      <c r="A92" s="225"/>
      <c r="B92" s="226"/>
      <c r="C92" s="11"/>
      <c r="D92" s="11"/>
      <c r="E92" s="220"/>
      <c r="F92" s="11"/>
      <c r="G92" s="215"/>
      <c r="H92" s="216"/>
    </row>
    <row r="93" spans="1:8">
      <c r="A93" s="204">
        <v>10</v>
      </c>
      <c r="B93" s="217" t="str">
        <f>INDEX('Date Drivers'!$A$1:$B$368,Database!C94,2)</f>
        <v>Firmware Version</v>
      </c>
      <c r="C93" s="206"/>
      <c r="D93" s="207">
        <v>1</v>
      </c>
      <c r="E93" s="208" t="str">
        <f ca="1">VLOOKUP(D93,D94:H95,2,FALSE)</f>
        <v>Latest available firmware - 06</v>
      </c>
      <c r="F93" s="227" t="str">
        <f ca="1">VLOOKUP(D93,D94:H95,3,FALSE)</f>
        <v>06</v>
      </c>
      <c r="G93" s="207">
        <f ca="1">VLOOKUP(D93,D94:H95,4,FALSE)</f>
        <v>0</v>
      </c>
      <c r="H93" s="207" t="str">
        <f ca="1">VLOOKUP(D93,D94:H95,5,FALSE)</f>
        <v>Y</v>
      </c>
    </row>
    <row r="94" spans="1:8">
      <c r="A94" s="222"/>
      <c r="B94" s="200"/>
      <c r="C94" s="218">
        <f>MATCH(A93,'Date Drivers'!$A$1:$A$368,0)</f>
        <v>87</v>
      </c>
      <c r="D94" s="218">
        <v>1</v>
      </c>
      <c r="E94" s="219" t="str">
        <f ca="1">INDEX(INDIRECT($K$1&amp;":"&amp;$K$2),C94,1)</f>
        <v>Latest available firmware - 06</v>
      </c>
      <c r="F94" s="218" t="str">
        <f ca="1">INDEX(INDIRECT($K$1&amp;":"&amp;$K$2),C94,2)</f>
        <v>06</v>
      </c>
      <c r="G94" s="210">
        <f ca="1">INDEX(INDIRECT($K$1&amp;":"&amp;$K$2),C94,3)</f>
        <v>0</v>
      </c>
      <c r="H94" s="211" t="str">
        <f ca="1">INDEX(INDIRECT($K$1&amp;":"&amp;$K$2),C94,4)</f>
        <v>Y</v>
      </c>
    </row>
    <row r="95" spans="1:8">
      <c r="A95" s="222"/>
      <c r="B95" s="200"/>
      <c r="C95" s="9">
        <f>C94+1</f>
        <v>88</v>
      </c>
      <c r="D95" s="9">
        <f>D94+1</f>
        <v>2</v>
      </c>
      <c r="E95" s="209" t="str">
        <f ca="1">INDEX(INDIRECT($K$1&amp;":"&amp;$K$2),C95,1)</f>
        <v>Firmware version number - 05</v>
      </c>
      <c r="F95" s="9" t="str">
        <f ca="1">INDEX(INDIRECT($K$1&amp;":"&amp;$K$2),C95,2)</f>
        <v>05</v>
      </c>
      <c r="G95" s="212">
        <f ca="1">INDEX(INDIRECT($K$1&amp;":"&amp;$K$2),C95,3)</f>
        <v>0</v>
      </c>
      <c r="H95" s="213" t="s">
        <v>40</v>
      </c>
    </row>
    <row r="96" spans="1:8">
      <c r="A96" s="225"/>
      <c r="B96" s="226"/>
      <c r="C96" s="11"/>
      <c r="D96" s="11"/>
      <c r="E96" s="220"/>
      <c r="F96" s="9"/>
      <c r="G96" s="215"/>
      <c r="H96" s="216"/>
    </row>
    <row r="97" spans="1:8">
      <c r="A97" s="204">
        <v>11</v>
      </c>
      <c r="B97" s="217" t="str">
        <f>INDEX('Date Drivers'!$A$1:$B$368,Database!C98,2)</f>
        <v>Hardware Design Suffix</v>
      </c>
      <c r="C97" s="206"/>
      <c r="D97" s="235">
        <v>1</v>
      </c>
      <c r="E97" s="208" t="str">
        <f ca="1">VLOOKUP(D97,D98:H99,2,FALSE)</f>
        <v>Standard hardware release</v>
      </c>
      <c r="F97" s="207" t="str">
        <f ca="1">VLOOKUP(D97,D98:H99,3,FALSE)</f>
        <v>B</v>
      </c>
      <c r="G97" s="207">
        <f ca="1">VLOOKUP(D97,D98:H99,4,FALSE)</f>
        <v>0</v>
      </c>
      <c r="H97" s="207" t="str">
        <f ca="1">VLOOKUP(D97,D98:H99,5,FALSE)</f>
        <v>Y</v>
      </c>
    </row>
    <row r="98" spans="1:8">
      <c r="A98" s="222"/>
      <c r="B98" s="200"/>
      <c r="C98" s="9">
        <f>MATCH(A97,'Date Drivers'!$A$1:$A$368,0)</f>
        <v>89</v>
      </c>
      <c r="D98" s="231">
        <v>1</v>
      </c>
      <c r="E98" s="232" t="str">
        <f ca="1">INDEX(INDIRECT($K$1&amp;":"&amp;$K$2),C98,1)</f>
        <v>Standard hardware release</v>
      </c>
      <c r="F98" s="218" t="str">
        <f ca="1">INDEX(INDIRECT($K$1&amp;":"&amp;$K$2),C98,2)</f>
        <v>B</v>
      </c>
      <c r="G98" s="210">
        <f ca="1">INDEX(INDIRECT($K$1&amp;":"&amp;$K$2),C98,3)</f>
        <v>0</v>
      </c>
      <c r="H98" s="210" t="str">
        <f ca="1">INDEX(INDIRECT($K$1&amp;":"&amp;$K$2),C98,4)</f>
        <v>Y</v>
      </c>
    </row>
    <row r="99" spans="1:8">
      <c r="A99" s="222"/>
      <c r="B99" s="200"/>
      <c r="C99" s="9">
        <f>C98+1</f>
        <v>90</v>
      </c>
      <c r="D99" s="231">
        <v>2</v>
      </c>
      <c r="E99" s="232" t="str">
        <f ca="1">INDEX(INDIRECT($K$1&amp;":"&amp;$K$2),C99,1)</f>
        <v>Alternate hardware release (Withdraw)</v>
      </c>
      <c r="F99" s="9" t="str">
        <f ca="1">INDEX(INDIRECT($K$1&amp;":"&amp;$K$2),C99,2)</f>
        <v>BL</v>
      </c>
      <c r="G99" s="212">
        <f ca="1">INDEX(INDIRECT($K$1&amp;":"&amp;$K$2),C99,3)</f>
        <v>0</v>
      </c>
      <c r="H99" s="212" t="str">
        <f ca="1">INDEX(INDIRECT($K$1&amp;":"&amp;$K$2),C99,4)</f>
        <v>Y</v>
      </c>
    </row>
    <row r="100" spans="1:8">
      <c r="A100" s="225"/>
      <c r="B100" s="226"/>
      <c r="C100" s="11"/>
      <c r="D100" s="11"/>
      <c r="E100" s="228"/>
      <c r="F100" s="11"/>
      <c r="G100" s="215"/>
      <c r="H100" s="216"/>
    </row>
  </sheetData>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6"/>
  <dimension ref="A1:AD91"/>
  <sheetViews>
    <sheetView zoomScaleNormal="100" workbookViewId="0">
      <pane xSplit="2" ySplit="1" topLeftCell="V2" activePane="bottomRight" state="frozen"/>
      <selection pane="topRight" activeCell="C1" sqref="C1"/>
      <selection pane="bottomLeft" activeCell="A2" sqref="A2"/>
      <selection pane="bottomRight" activeCell="AA2" sqref="AA2"/>
    </sheetView>
  </sheetViews>
  <sheetFormatPr defaultRowHeight="12"/>
  <cols>
    <col min="1" max="1" width="5" style="3" customWidth="1"/>
    <col min="2" max="2" width="39.85546875" style="15" bestFit="1" customWidth="1"/>
    <col min="3" max="3" width="81.28515625" style="19" bestFit="1" customWidth="1"/>
    <col min="4" max="4" width="9.7109375" style="21" customWidth="1"/>
    <col min="5" max="5" width="9.7109375" style="101" customWidth="1"/>
    <col min="6" max="6" width="5.42578125" style="21" customWidth="1"/>
    <col min="7" max="7" width="72.7109375" style="19" hidden="1" customWidth="1"/>
    <col min="8" max="8" width="9.7109375" style="21" hidden="1" customWidth="1"/>
    <col min="9" max="9" width="9.7109375" style="101" hidden="1" customWidth="1"/>
    <col min="10" max="10" width="5.42578125" style="21" hidden="1" customWidth="1"/>
    <col min="11" max="11" width="81.28515625" style="19" bestFit="1" customWidth="1"/>
    <col min="12" max="12" width="9.7109375" style="21" customWidth="1"/>
    <col min="13" max="13" width="9.7109375" style="101" customWidth="1"/>
    <col min="14" max="14" width="5.42578125" style="21" customWidth="1"/>
    <col min="15" max="15" width="81.28515625" style="19" bestFit="1" customWidth="1"/>
    <col min="16" max="16" width="9.7109375" style="21" customWidth="1"/>
    <col min="17" max="17" width="9.7109375" style="101" customWidth="1"/>
    <col min="18" max="18" width="5.42578125" style="21" customWidth="1"/>
    <col min="19" max="19" width="81.28515625" style="19" bestFit="1" customWidth="1"/>
    <col min="20" max="20" width="9.7109375" style="21" customWidth="1"/>
    <col min="21" max="21" width="9.7109375" style="101" customWidth="1"/>
    <col min="22" max="22" width="5.42578125" style="21" customWidth="1"/>
    <col min="23" max="23" width="81.28515625" style="246" bestFit="1" customWidth="1"/>
    <col min="24" max="24" width="9.7109375" style="247" customWidth="1"/>
    <col min="25" max="25" width="9.7109375" style="249" customWidth="1"/>
    <col min="26" max="26" width="5.42578125" style="247" customWidth="1"/>
    <col min="27" max="27" width="81.28515625" style="246" bestFit="1" customWidth="1"/>
    <col min="28" max="28" width="9.7109375" style="247" customWidth="1"/>
    <col min="29" max="29" width="9.7109375" style="249" customWidth="1"/>
    <col min="30" max="30" width="5.42578125" style="247" customWidth="1"/>
    <col min="31" max="16384" width="9.140625" style="15"/>
  </cols>
  <sheetData>
    <row r="1" spans="1:30">
      <c r="A1" s="161"/>
      <c r="B1" s="162" t="s">
        <v>102</v>
      </c>
      <c r="C1" s="163">
        <f>Database!$E$1</f>
        <v>43348</v>
      </c>
      <c r="D1" s="163"/>
      <c r="E1" s="163"/>
      <c r="F1" s="163"/>
      <c r="H1" s="163"/>
      <c r="I1" s="163"/>
      <c r="J1" s="163"/>
      <c r="K1" s="163">
        <f>Database!$E$1</f>
        <v>43348</v>
      </c>
      <c r="L1" s="163"/>
      <c r="M1" s="163"/>
      <c r="N1" s="163"/>
      <c r="O1" s="163">
        <f>Database!$E$1</f>
        <v>43348</v>
      </c>
      <c r="P1" s="163"/>
      <c r="Q1" s="163"/>
      <c r="R1" s="163"/>
      <c r="S1" s="163">
        <f>Database!$E$1</f>
        <v>43348</v>
      </c>
      <c r="T1" s="163"/>
      <c r="U1" s="163"/>
      <c r="V1" s="163"/>
      <c r="W1" s="251">
        <f>Database!$E$1</f>
        <v>43348</v>
      </c>
      <c r="X1" s="251"/>
      <c r="Y1" s="251"/>
      <c r="Z1" s="251"/>
      <c r="AA1" s="251">
        <f>Database!$E$1</f>
        <v>43348</v>
      </c>
      <c r="AB1" s="251"/>
      <c r="AC1" s="251"/>
      <c r="AD1" s="251"/>
    </row>
    <row r="2" spans="1:30">
      <c r="A2" s="161"/>
      <c r="B2" s="162" t="s">
        <v>103</v>
      </c>
      <c r="C2" s="164">
        <v>42356</v>
      </c>
      <c r="D2" s="165"/>
      <c r="E2" s="165"/>
      <c r="F2" s="165"/>
      <c r="G2" s="164">
        <v>42060</v>
      </c>
      <c r="H2" s="165"/>
      <c r="I2" s="165"/>
      <c r="J2" s="165"/>
      <c r="K2" s="164">
        <v>42445</v>
      </c>
      <c r="L2" s="165"/>
      <c r="M2" s="165"/>
      <c r="N2" s="165"/>
      <c r="O2" s="164">
        <v>42494</v>
      </c>
      <c r="P2" s="165"/>
      <c r="Q2" s="165"/>
      <c r="R2" s="165"/>
      <c r="S2" s="164">
        <v>42556</v>
      </c>
      <c r="T2" s="165"/>
      <c r="U2" s="165"/>
      <c r="V2" s="165"/>
      <c r="W2" s="252">
        <v>42656</v>
      </c>
      <c r="X2" s="253"/>
      <c r="Y2" s="253"/>
      <c r="Z2" s="253"/>
      <c r="AA2" s="252">
        <v>43348</v>
      </c>
      <c r="AB2" s="253"/>
      <c r="AC2" s="253"/>
      <c r="AD2" s="253"/>
    </row>
    <row r="3" spans="1:30">
      <c r="A3" s="166" t="s">
        <v>35</v>
      </c>
      <c r="B3" s="167" t="s">
        <v>36</v>
      </c>
      <c r="C3" s="168" t="s">
        <v>37</v>
      </c>
      <c r="D3" s="168" t="s">
        <v>38</v>
      </c>
      <c r="E3" s="168" t="s">
        <v>44</v>
      </c>
      <c r="F3" s="169" t="s">
        <v>39</v>
      </c>
      <c r="G3" s="168" t="s">
        <v>37</v>
      </c>
      <c r="H3" s="168" t="s">
        <v>38</v>
      </c>
      <c r="I3" s="168" t="s">
        <v>44</v>
      </c>
      <c r="J3" s="169" t="s">
        <v>39</v>
      </c>
      <c r="K3" s="168" t="s">
        <v>37</v>
      </c>
      <c r="L3" s="168" t="s">
        <v>38</v>
      </c>
      <c r="M3" s="168" t="s">
        <v>44</v>
      </c>
      <c r="N3" s="169" t="s">
        <v>39</v>
      </c>
      <c r="O3" s="168" t="s">
        <v>37</v>
      </c>
      <c r="P3" s="168" t="s">
        <v>38</v>
      </c>
      <c r="Q3" s="168" t="s">
        <v>44</v>
      </c>
      <c r="R3" s="169" t="s">
        <v>39</v>
      </c>
      <c r="S3" s="168" t="s">
        <v>37</v>
      </c>
      <c r="T3" s="168" t="s">
        <v>38</v>
      </c>
      <c r="U3" s="168" t="s">
        <v>44</v>
      </c>
      <c r="V3" s="169" t="s">
        <v>39</v>
      </c>
      <c r="W3" s="254" t="s">
        <v>37</v>
      </c>
      <c r="X3" s="254" t="s">
        <v>38</v>
      </c>
      <c r="Y3" s="254" t="s">
        <v>44</v>
      </c>
      <c r="Z3" s="255" t="s">
        <v>39</v>
      </c>
      <c r="AA3" s="254" t="s">
        <v>37</v>
      </c>
      <c r="AB3" s="254" t="s">
        <v>38</v>
      </c>
      <c r="AC3" s="254" t="s">
        <v>44</v>
      </c>
      <c r="AD3" s="255" t="s">
        <v>39</v>
      </c>
    </row>
    <row r="4" spans="1:30">
      <c r="A4" s="20"/>
      <c r="B4" s="170" t="str">
        <f>HLOOKUP(Language!$C$3,Language!$E$1:$Z464,2,FALSE)</f>
        <v>Model Type</v>
      </c>
      <c r="C4" s="171" t="str">
        <f>CONCATENATE(HLOOKUP(Language!$C$3,Language!$E$1:$Z464,4,FALSE)," ",HLOOKUP(Language!$C$3,Language!$E$1:$Z464,3,FALSE))</f>
        <v>S2024G Modular Managed Ethernet Switch</v>
      </c>
      <c r="D4" s="172"/>
      <c r="E4" s="172"/>
      <c r="F4" s="173"/>
      <c r="G4" s="171" t="str">
        <f>CONCATENATE(HLOOKUP(Language!$C$3,Language!$E$1:$Z464,4,FALSE)," ",HLOOKUP(Language!$C$3,Language!$E$1:$Z464,3,FALSE))</f>
        <v>S2024G Modular Managed Ethernet Switch</v>
      </c>
      <c r="H4" s="172"/>
      <c r="I4" s="172"/>
      <c r="J4" s="173"/>
      <c r="K4" s="171" t="str">
        <f>CONCATENATE(HLOOKUP(Language!$C$3,Language!$E$1:$Z464,4,FALSE)," ",HLOOKUP(Language!$C$3,Language!$E$1:$Z464,3,FALSE))</f>
        <v>S2024G Modular Managed Ethernet Switch</v>
      </c>
      <c r="L4" s="172"/>
      <c r="M4" s="172"/>
      <c r="N4" s="173"/>
      <c r="O4" s="171" t="str">
        <f>CONCATENATE(HLOOKUP(Language!$C$3,Language!$E$1:$Z464,4,FALSE)," ",HLOOKUP(Language!$C$3,Language!$E$1:$Z464,3,FALSE))</f>
        <v>S2024G Modular Managed Ethernet Switch</v>
      </c>
      <c r="P4" s="172"/>
      <c r="Q4" s="172"/>
      <c r="R4" s="173"/>
      <c r="S4" s="171" t="str">
        <f>CONCATENATE(HLOOKUP(Language!$C$3,Language!$E$1:$Z464,4,FALSE)," ",HLOOKUP(Language!$C$3,Language!$E$1:$Z464,3,FALSE))</f>
        <v>S2024G Modular Managed Ethernet Switch</v>
      </c>
      <c r="T4" s="172"/>
      <c r="U4" s="172"/>
      <c r="V4" s="173"/>
      <c r="W4" s="256" t="str">
        <f>CONCATENATE(HLOOKUP(Language!$C$3,Language!$E$1:$Z464,4,FALSE)," ",HLOOKUP(Language!$C$3,Language!$E$1:$Z464,3,FALSE))</f>
        <v>S2024G Modular Managed Ethernet Switch</v>
      </c>
      <c r="X4" s="257"/>
      <c r="Y4" s="257"/>
      <c r="Z4" s="258"/>
      <c r="AA4" s="256" t="str">
        <f>CONCATENATE(HLOOKUP(Language!$C$3,Language!$E$1:$Z464,4,FALSE)," ",HLOOKUP(Language!$C$3,Language!$E$1:$Z464,3,FALSE))</f>
        <v>S2024G Modular Managed Ethernet Switch</v>
      </c>
      <c r="AB4" s="257"/>
      <c r="AC4" s="257"/>
      <c r="AD4" s="258"/>
    </row>
    <row r="5" spans="1:30">
      <c r="A5" s="20"/>
      <c r="B5" s="174" t="s">
        <v>101</v>
      </c>
      <c r="C5" s="175" t="str">
        <f>HLOOKUP(Language!$C$3,Language!$E$1:$Z465,4,FALSE)</f>
        <v>S2024G</v>
      </c>
      <c r="D5" s="175"/>
      <c r="E5" s="176"/>
      <c r="F5" s="175" t="s">
        <v>40</v>
      </c>
      <c r="G5" s="175" t="str">
        <f>HLOOKUP(Language!$C$3,Language!$E$1:$Z465,4,FALSE)</f>
        <v>S2024G</v>
      </c>
      <c r="H5" s="175"/>
      <c r="I5" s="176"/>
      <c r="J5" s="175" t="s">
        <v>40</v>
      </c>
      <c r="K5" s="175" t="str">
        <f>HLOOKUP(Language!$C$3,Language!$E$1:$Z465,4,FALSE)</f>
        <v>S2024G</v>
      </c>
      <c r="L5" s="175"/>
      <c r="M5" s="176"/>
      <c r="N5" s="175" t="s">
        <v>40</v>
      </c>
      <c r="O5" s="175" t="str">
        <f>HLOOKUP(Language!$C$3,Language!$E$1:$Z465,4,FALSE)</f>
        <v>S2024G</v>
      </c>
      <c r="P5" s="175"/>
      <c r="Q5" s="176"/>
      <c r="R5" s="175" t="s">
        <v>40</v>
      </c>
      <c r="S5" s="175" t="str">
        <f>HLOOKUP(Language!$C$3,Language!$E$1:$Z465,4,FALSE)</f>
        <v>S2024G</v>
      </c>
      <c r="T5" s="175"/>
      <c r="U5" s="176"/>
      <c r="V5" s="175" t="s">
        <v>40</v>
      </c>
      <c r="W5" s="259" t="str">
        <f>HLOOKUP(Language!$C$3,Language!$E$1:$Z465,4,FALSE)</f>
        <v>S2024G</v>
      </c>
      <c r="X5" s="259"/>
      <c r="Y5" s="260"/>
      <c r="Z5" s="259" t="s">
        <v>40</v>
      </c>
      <c r="AA5" s="259" t="str">
        <f>HLOOKUP(Language!$C$3,Language!$E$1:$Z465,4,FALSE)</f>
        <v>S2024G</v>
      </c>
      <c r="AB5" s="259"/>
      <c r="AC5" s="260"/>
      <c r="AD5" s="259" t="s">
        <v>40</v>
      </c>
    </row>
    <row r="6" spans="1:30">
      <c r="A6" s="177">
        <v>1</v>
      </c>
      <c r="B6" s="16" t="str">
        <f>HLOOKUP(Language!$C$3,Language!$E$1:$Z497,5,FALSE)</f>
        <v>Power Supply 1</v>
      </c>
      <c r="C6" s="178" t="str">
        <f>HLOOKUP(Language!$C$3,Language!$E$1:$Z503,40,FALSE)</f>
        <v>24-48 Vdc</v>
      </c>
      <c r="D6" s="178">
        <v>1</v>
      </c>
      <c r="E6" s="178"/>
      <c r="F6" s="178" t="s">
        <v>40</v>
      </c>
      <c r="G6" s="178" t="str">
        <f>HLOOKUP(Language!$C$3,Language!$E$1:$Z503,40,FALSE)</f>
        <v>24-48 Vdc</v>
      </c>
      <c r="H6" s="178">
        <v>1</v>
      </c>
      <c r="I6" s="178"/>
      <c r="J6" s="178" t="s">
        <v>40</v>
      </c>
      <c r="K6" s="178" t="str">
        <f>HLOOKUP(Language!$C$3,Language!$E$1:$Z503,40,FALSE)</f>
        <v>24-48 Vdc</v>
      </c>
      <c r="L6" s="178">
        <v>1</v>
      </c>
      <c r="M6" s="178"/>
      <c r="N6" s="178" t="s">
        <v>40</v>
      </c>
      <c r="O6" s="178" t="str">
        <f>HLOOKUP(Language!$C$3,Language!$E$1:$Z503,40,FALSE)</f>
        <v>24-48 Vdc</v>
      </c>
      <c r="P6" s="178">
        <v>1</v>
      </c>
      <c r="Q6" s="178"/>
      <c r="R6" s="178" t="s">
        <v>40</v>
      </c>
      <c r="S6" s="178" t="str">
        <f>HLOOKUP(Language!$C$3,Language!$E$1:$Z503,40,FALSE)</f>
        <v>24-48 Vdc</v>
      </c>
      <c r="T6" s="178">
        <v>1</v>
      </c>
      <c r="U6" s="178"/>
      <c r="V6" s="178" t="s">
        <v>40</v>
      </c>
      <c r="W6" s="261" t="str">
        <f>HLOOKUP(Language!$C$3,Language!$E$1:$Z503,40,FALSE)</f>
        <v>24-48 Vdc</v>
      </c>
      <c r="X6" s="261">
        <v>1</v>
      </c>
      <c r="Y6" s="261"/>
      <c r="Z6" s="261" t="s">
        <v>40</v>
      </c>
      <c r="AA6" s="261" t="str">
        <f>HLOOKUP(Language!$C$3,Language!$E$1:$Z503,40,FALSE)</f>
        <v>24-48 Vdc</v>
      </c>
      <c r="AB6" s="261">
        <v>1</v>
      </c>
      <c r="AC6" s="261"/>
      <c r="AD6" s="261" t="s">
        <v>40</v>
      </c>
    </row>
    <row r="7" spans="1:30">
      <c r="A7" s="179"/>
      <c r="B7" s="17"/>
      <c r="C7" s="180" t="str">
        <f>HLOOKUP(Language!$C$3,Language!$E$1:$Z499,7,FALSE)</f>
        <v>100-250 Vdc / 110-240 Vac</v>
      </c>
      <c r="D7" s="180">
        <v>3</v>
      </c>
      <c r="E7" s="180"/>
      <c r="F7" s="180" t="s">
        <v>40</v>
      </c>
      <c r="G7" s="180" t="str">
        <f>HLOOKUP(Language!$C$3,Language!$E$1:$Z499,7,FALSE)</f>
        <v>100-250 Vdc / 110-240 Vac</v>
      </c>
      <c r="H7" s="180">
        <v>3</v>
      </c>
      <c r="I7" s="180"/>
      <c r="J7" s="180" t="s">
        <v>40</v>
      </c>
      <c r="K7" s="180" t="str">
        <f>HLOOKUP(Language!$C$3,Language!$E$1:$Z499,7,FALSE)</f>
        <v>100-250 Vdc / 110-240 Vac</v>
      </c>
      <c r="L7" s="180">
        <v>3</v>
      </c>
      <c r="M7" s="180"/>
      <c r="N7" s="180" t="s">
        <v>40</v>
      </c>
      <c r="O7" s="180" t="str">
        <f>HLOOKUP(Language!$C$3,Language!$E$1:$Z499,7,FALSE)</f>
        <v>100-250 Vdc / 110-240 Vac</v>
      </c>
      <c r="P7" s="180">
        <v>3</v>
      </c>
      <c r="Q7" s="180"/>
      <c r="R7" s="180" t="s">
        <v>40</v>
      </c>
      <c r="S7" s="180" t="str">
        <f>HLOOKUP(Language!$C$3,Language!$E$1:$Z499,7,FALSE)</f>
        <v>100-250 Vdc / 110-240 Vac</v>
      </c>
      <c r="T7" s="180">
        <v>3</v>
      </c>
      <c r="U7" s="180"/>
      <c r="V7" s="180" t="s">
        <v>40</v>
      </c>
      <c r="W7" s="262" t="str">
        <f>HLOOKUP(Language!$C$3,Language!$E$1:$Z499,7,FALSE)</f>
        <v>100-250 Vdc / 110-240 Vac</v>
      </c>
      <c r="X7" s="262">
        <v>3</v>
      </c>
      <c r="Y7" s="262"/>
      <c r="Z7" s="262" t="s">
        <v>40</v>
      </c>
      <c r="AA7" s="262" t="str">
        <f>HLOOKUP(Language!$C$3,Language!$E$1:$Z499,7,FALSE)</f>
        <v>100-250 Vdc / 110-240 Vac</v>
      </c>
      <c r="AB7" s="262">
        <v>3</v>
      </c>
      <c r="AC7" s="262"/>
      <c r="AD7" s="262" t="s">
        <v>40</v>
      </c>
    </row>
    <row r="8" spans="1:30">
      <c r="A8" s="181"/>
      <c r="B8" s="23"/>
      <c r="C8" s="182"/>
      <c r="D8" s="182"/>
      <c r="E8" s="182"/>
      <c r="F8" s="182"/>
      <c r="G8" s="182"/>
      <c r="H8" s="182"/>
      <c r="I8" s="182"/>
      <c r="J8" s="182"/>
      <c r="K8" s="182"/>
      <c r="L8" s="182"/>
      <c r="M8" s="182"/>
      <c r="N8" s="182"/>
      <c r="O8" s="182"/>
      <c r="P8" s="182"/>
      <c r="Q8" s="182"/>
      <c r="R8" s="182"/>
      <c r="S8" s="182"/>
      <c r="T8" s="182"/>
      <c r="U8" s="182"/>
      <c r="V8" s="182"/>
      <c r="W8" s="263"/>
      <c r="X8" s="263"/>
      <c r="Y8" s="263"/>
      <c r="Z8" s="263"/>
      <c r="AA8" s="263"/>
      <c r="AB8" s="263"/>
      <c r="AC8" s="263"/>
      <c r="AD8" s="263"/>
    </row>
    <row r="9" spans="1:30">
      <c r="A9" s="177">
        <v>2</v>
      </c>
      <c r="B9" s="16" t="str">
        <f>HLOOKUP(Language!$C$3,Language!$E$1:$Z464,6,FALSE)</f>
        <v>Power Supply 2</v>
      </c>
      <c r="C9" s="178" t="str">
        <f>HLOOKUP(Language!$C$3,Language!$E$1:$Z503,40,FALSE)</f>
        <v>24-48 Vdc</v>
      </c>
      <c r="D9" s="178">
        <v>1</v>
      </c>
      <c r="E9" s="178"/>
      <c r="F9" s="178" t="s">
        <v>40</v>
      </c>
      <c r="G9" s="178" t="str">
        <f>HLOOKUP(Language!$C$3,Language!$E$1:$Z503,40,FALSE)</f>
        <v>24-48 Vdc</v>
      </c>
      <c r="H9" s="178">
        <v>1</v>
      </c>
      <c r="I9" s="178"/>
      <c r="J9" s="178" t="s">
        <v>40</v>
      </c>
      <c r="K9" s="178" t="str">
        <f>HLOOKUP(Language!$C$3,Language!$E$1:$Z503,40,FALSE)</f>
        <v>24-48 Vdc</v>
      </c>
      <c r="L9" s="178">
        <v>1</v>
      </c>
      <c r="M9" s="178"/>
      <c r="N9" s="178" t="s">
        <v>40</v>
      </c>
      <c r="O9" s="178" t="str">
        <f>HLOOKUP(Language!$C$3,Language!$E$1:$Z503,40,FALSE)</f>
        <v>24-48 Vdc</v>
      </c>
      <c r="P9" s="178">
        <v>1</v>
      </c>
      <c r="Q9" s="178"/>
      <c r="R9" s="178" t="s">
        <v>40</v>
      </c>
      <c r="S9" s="178" t="str">
        <f>HLOOKUP(Language!$C$3,Language!$E$1:$Z503,40,FALSE)</f>
        <v>24-48 Vdc</v>
      </c>
      <c r="T9" s="178">
        <v>1</v>
      </c>
      <c r="U9" s="178"/>
      <c r="V9" s="178" t="s">
        <v>40</v>
      </c>
      <c r="W9" s="261" t="str">
        <f>HLOOKUP(Language!$C$3,Language!$E$1:$Z503,40,FALSE)</f>
        <v>24-48 Vdc</v>
      </c>
      <c r="X9" s="261">
        <v>1</v>
      </c>
      <c r="Y9" s="261"/>
      <c r="Z9" s="261" t="s">
        <v>40</v>
      </c>
      <c r="AA9" s="261" t="str">
        <f>HLOOKUP(Language!$C$3,Language!$E$1:$Z503,40,FALSE)</f>
        <v>24-48 Vdc</v>
      </c>
      <c r="AB9" s="261">
        <v>1</v>
      </c>
      <c r="AC9" s="261"/>
      <c r="AD9" s="261" t="s">
        <v>40</v>
      </c>
    </row>
    <row r="10" spans="1:30">
      <c r="A10" s="179"/>
      <c r="B10" s="17"/>
      <c r="C10" s="180" t="str">
        <f>HLOOKUP(Language!$C$3,Language!$E$1:$Z499,7,FALSE)</f>
        <v>100-250 Vdc / 110-240 Vac</v>
      </c>
      <c r="D10" s="180">
        <v>3</v>
      </c>
      <c r="E10" s="180"/>
      <c r="F10" s="180" t="s">
        <v>40</v>
      </c>
      <c r="G10" s="180" t="str">
        <f>HLOOKUP(Language!$C$3,Language!$E$1:$Z499,7,FALSE)</f>
        <v>100-250 Vdc / 110-240 Vac</v>
      </c>
      <c r="H10" s="180">
        <v>3</v>
      </c>
      <c r="I10" s="180"/>
      <c r="J10" s="180" t="s">
        <v>40</v>
      </c>
      <c r="K10" s="180" t="str">
        <f>HLOOKUP(Language!$C$3,Language!$E$1:$Z499,7,FALSE)</f>
        <v>100-250 Vdc / 110-240 Vac</v>
      </c>
      <c r="L10" s="180">
        <v>3</v>
      </c>
      <c r="M10" s="180"/>
      <c r="N10" s="180" t="s">
        <v>40</v>
      </c>
      <c r="O10" s="180" t="str">
        <f>HLOOKUP(Language!$C$3,Language!$E$1:$Z499,7,FALSE)</f>
        <v>100-250 Vdc / 110-240 Vac</v>
      </c>
      <c r="P10" s="180">
        <v>3</v>
      </c>
      <c r="Q10" s="180"/>
      <c r="R10" s="180" t="s">
        <v>40</v>
      </c>
      <c r="S10" s="180" t="str">
        <f>HLOOKUP(Language!$C$3,Language!$E$1:$Z499,7,FALSE)</f>
        <v>100-250 Vdc / 110-240 Vac</v>
      </c>
      <c r="T10" s="180">
        <v>3</v>
      </c>
      <c r="U10" s="180"/>
      <c r="V10" s="180" t="s">
        <v>40</v>
      </c>
      <c r="W10" s="262" t="str">
        <f>HLOOKUP(Language!$C$3,Language!$E$1:$Z499,7,FALSE)</f>
        <v>100-250 Vdc / 110-240 Vac</v>
      </c>
      <c r="X10" s="262">
        <v>3</v>
      </c>
      <c r="Y10" s="262"/>
      <c r="Z10" s="262" t="s">
        <v>40</v>
      </c>
      <c r="AA10" s="262" t="str">
        <f>HLOOKUP(Language!$C$3,Language!$E$1:$Z499,7,FALSE)</f>
        <v>100-250 Vdc / 110-240 Vac</v>
      </c>
      <c r="AB10" s="262">
        <v>3</v>
      </c>
      <c r="AC10" s="262"/>
      <c r="AD10" s="262" t="s">
        <v>40</v>
      </c>
    </row>
    <row r="11" spans="1:30">
      <c r="A11" s="179"/>
      <c r="B11" s="17"/>
      <c r="C11" s="180" t="str">
        <f>HLOOKUP(Language!$C$3,Language!$E$1:$Z467,8,FALSE)</f>
        <v>Not installed</v>
      </c>
      <c r="D11" s="180" t="s">
        <v>28</v>
      </c>
      <c r="E11" s="180"/>
      <c r="F11" s="180" t="s">
        <v>40</v>
      </c>
      <c r="G11" s="180" t="str">
        <f>HLOOKUP(Language!$C$3,Language!$E$1:$Z467,8,FALSE)</f>
        <v>Not installed</v>
      </c>
      <c r="H11" s="180" t="s">
        <v>28</v>
      </c>
      <c r="I11" s="180"/>
      <c r="J11" s="180" t="s">
        <v>40</v>
      </c>
      <c r="K11" s="180" t="str">
        <f>HLOOKUP(Language!$C$3,Language!$E$1:$Z467,8,FALSE)</f>
        <v>Not installed</v>
      </c>
      <c r="L11" s="180" t="s">
        <v>28</v>
      </c>
      <c r="M11" s="180"/>
      <c r="N11" s="180" t="s">
        <v>40</v>
      </c>
      <c r="O11" s="180" t="str">
        <f>HLOOKUP(Language!$C$3,Language!$E$1:$Z467,8,FALSE)</f>
        <v>Not installed</v>
      </c>
      <c r="P11" s="180" t="s">
        <v>28</v>
      </c>
      <c r="Q11" s="180"/>
      <c r="R11" s="180" t="s">
        <v>40</v>
      </c>
      <c r="S11" s="180" t="str">
        <f>HLOOKUP(Language!$C$3,Language!$E$1:$Z467,8,FALSE)</f>
        <v>Not installed</v>
      </c>
      <c r="T11" s="180" t="s">
        <v>28</v>
      </c>
      <c r="U11" s="180"/>
      <c r="V11" s="180" t="s">
        <v>40</v>
      </c>
      <c r="W11" s="262" t="str">
        <f>HLOOKUP(Language!$C$3,Language!$E$1:$Z467,8,FALSE)</f>
        <v>Not installed</v>
      </c>
      <c r="X11" s="262" t="s">
        <v>28</v>
      </c>
      <c r="Y11" s="262"/>
      <c r="Z11" s="262" t="s">
        <v>40</v>
      </c>
      <c r="AA11" s="262" t="str">
        <f>HLOOKUP(Language!$C$3,Language!$E$1:$Z467,8,FALSE)</f>
        <v>Not installed</v>
      </c>
      <c r="AB11" s="262" t="s">
        <v>28</v>
      </c>
      <c r="AC11" s="262"/>
      <c r="AD11" s="262" t="s">
        <v>40</v>
      </c>
    </row>
    <row r="12" spans="1:30">
      <c r="A12" s="181"/>
      <c r="B12" s="23"/>
      <c r="C12" s="182"/>
      <c r="D12" s="182"/>
      <c r="E12" s="182"/>
      <c r="F12" s="182"/>
      <c r="G12" s="182"/>
      <c r="H12" s="182"/>
      <c r="I12" s="182"/>
      <c r="J12" s="182"/>
      <c r="K12" s="182"/>
      <c r="L12" s="182"/>
      <c r="M12" s="182"/>
      <c r="N12" s="182"/>
      <c r="O12" s="182"/>
      <c r="P12" s="182"/>
      <c r="Q12" s="182"/>
      <c r="R12" s="182"/>
      <c r="S12" s="182"/>
      <c r="T12" s="182"/>
      <c r="U12" s="182"/>
      <c r="V12" s="182"/>
      <c r="W12" s="263"/>
      <c r="X12" s="263"/>
      <c r="Y12" s="263"/>
      <c r="Z12" s="263"/>
      <c r="AA12" s="263"/>
      <c r="AB12" s="263"/>
      <c r="AC12" s="263"/>
      <c r="AD12" s="263"/>
    </row>
    <row r="13" spans="1:30">
      <c r="A13" s="177">
        <v>3</v>
      </c>
      <c r="B13" s="16" t="str">
        <f>HLOOKUP(Language!$C$3,Language!$E$1:$Z468,43,FALSE)</f>
        <v>Mounting Options</v>
      </c>
      <c r="C13" s="178" t="str">
        <f>HLOOKUP(Language!$C$3,Language!$E$1:$Z470,44,FALSE)</f>
        <v>19” Rack Mount / Rear Mount</v>
      </c>
      <c r="D13" s="178" t="s">
        <v>82</v>
      </c>
      <c r="E13" s="178"/>
      <c r="F13" s="178" t="s">
        <v>40</v>
      </c>
      <c r="G13" s="178" t="str">
        <f>HLOOKUP(Language!$C$3,Language!$E$1:$Z470,44,FALSE)</f>
        <v>19” Rack Mount / Rear Mount</v>
      </c>
      <c r="H13" s="178" t="s">
        <v>82</v>
      </c>
      <c r="I13" s="178"/>
      <c r="J13" s="178" t="s">
        <v>40</v>
      </c>
      <c r="K13" s="178" t="str">
        <f>HLOOKUP(Language!$C$3,Language!$E$1:$Z470,44,FALSE)</f>
        <v>19” Rack Mount / Rear Mount</v>
      </c>
      <c r="L13" s="178" t="s">
        <v>82</v>
      </c>
      <c r="M13" s="178"/>
      <c r="N13" s="178" t="s">
        <v>40</v>
      </c>
      <c r="O13" s="178" t="str">
        <f>HLOOKUP(Language!$C$3,Language!$E$1:$Z470,44,FALSE)</f>
        <v>19” Rack Mount / Rear Mount</v>
      </c>
      <c r="P13" s="178" t="s">
        <v>82</v>
      </c>
      <c r="Q13" s="178"/>
      <c r="R13" s="178" t="s">
        <v>40</v>
      </c>
      <c r="S13" s="178" t="str">
        <f>HLOOKUP(Language!$C$3,Language!$E$1:$Z470,44,FALSE)</f>
        <v>19” Rack Mount / Rear Mount</v>
      </c>
      <c r="T13" s="178" t="s">
        <v>82</v>
      </c>
      <c r="U13" s="178"/>
      <c r="V13" s="178" t="s">
        <v>40</v>
      </c>
      <c r="W13" s="261" t="str">
        <f>HLOOKUP(Language!$C$3,Language!$E$1:$Z470,44,FALSE)</f>
        <v>19” Rack Mount / Rear Mount</v>
      </c>
      <c r="X13" s="261" t="s">
        <v>82</v>
      </c>
      <c r="Y13" s="261"/>
      <c r="Z13" s="261" t="s">
        <v>40</v>
      </c>
      <c r="AA13" s="261" t="str">
        <f>HLOOKUP(Language!$C$3,Language!$E$1:$Z470,44,FALSE)</f>
        <v>19” Rack Mount / Rear Mount</v>
      </c>
      <c r="AB13" s="261" t="s">
        <v>82</v>
      </c>
      <c r="AC13" s="261"/>
      <c r="AD13" s="261" t="s">
        <v>40</v>
      </c>
    </row>
    <row r="14" spans="1:30">
      <c r="A14" s="179"/>
      <c r="B14" s="17"/>
      <c r="C14" s="180"/>
      <c r="D14" s="180"/>
      <c r="E14" s="180"/>
      <c r="F14" s="180"/>
      <c r="G14" s="180"/>
      <c r="H14" s="180"/>
      <c r="I14" s="180"/>
      <c r="J14" s="180"/>
      <c r="K14" s="180"/>
      <c r="L14" s="180"/>
      <c r="M14" s="180"/>
      <c r="N14" s="180"/>
      <c r="O14" s="180"/>
      <c r="P14" s="180"/>
      <c r="Q14" s="180"/>
      <c r="R14" s="180"/>
      <c r="S14" s="180"/>
      <c r="T14" s="180"/>
      <c r="U14" s="180"/>
      <c r="V14" s="180"/>
      <c r="W14" s="262"/>
      <c r="X14" s="262"/>
      <c r="Y14" s="262"/>
      <c r="Z14" s="262"/>
      <c r="AA14" s="262"/>
      <c r="AB14" s="262"/>
      <c r="AC14" s="262"/>
      <c r="AD14" s="262"/>
    </row>
    <row r="15" spans="1:30">
      <c r="A15" s="181"/>
      <c r="B15" s="23"/>
      <c r="C15" s="182"/>
      <c r="D15" s="182"/>
      <c r="E15" s="182"/>
      <c r="F15" s="182"/>
      <c r="G15" s="182"/>
      <c r="H15" s="182"/>
      <c r="I15" s="182"/>
      <c r="J15" s="182"/>
      <c r="K15" s="182"/>
      <c r="L15" s="182"/>
      <c r="M15" s="182"/>
      <c r="N15" s="182"/>
      <c r="O15" s="182"/>
      <c r="P15" s="182"/>
      <c r="Q15" s="182"/>
      <c r="R15" s="182"/>
      <c r="S15" s="182"/>
      <c r="T15" s="182"/>
      <c r="U15" s="182"/>
      <c r="V15" s="182"/>
      <c r="W15" s="263"/>
      <c r="X15" s="263"/>
      <c r="Y15" s="263"/>
      <c r="Z15" s="263"/>
      <c r="AA15" s="263"/>
      <c r="AB15" s="263"/>
      <c r="AC15" s="263"/>
      <c r="AD15" s="263"/>
    </row>
    <row r="16" spans="1:30">
      <c r="A16" s="177">
        <v>4</v>
      </c>
      <c r="B16" s="16" t="str">
        <f>HLOOKUP(Language!$C$3,Language!$E$1:$Z490,9,FALSE)</f>
        <v>Interface Module 1</v>
      </c>
      <c r="C16" s="178" t="str">
        <f>HLOOKUP(Language!$C$3,Language!$E$1:$Z492,14,FALSE)</f>
        <v>Four 1 Gbps RJ45 copper 10/100BASE-TX/1000BASE-T Ethernet ports</v>
      </c>
      <c r="D16" s="178" t="s">
        <v>26</v>
      </c>
      <c r="E16" s="178"/>
      <c r="F16" s="178" t="s">
        <v>40</v>
      </c>
      <c r="G16" s="178" t="str">
        <f>HLOOKUP(Language!$C$3,Language!$E$1:$Z492,14,FALSE)</f>
        <v>Four 1 Gbps RJ45 copper 10/100BASE-TX/1000BASE-T Ethernet ports</v>
      </c>
      <c r="H16" s="178" t="s">
        <v>26</v>
      </c>
      <c r="I16" s="178"/>
      <c r="J16" s="178" t="s">
        <v>40</v>
      </c>
      <c r="K16" s="178" t="str">
        <f>HLOOKUP(Language!$C$3,Language!$E$1:$Z492,14,FALSE)</f>
        <v>Four 1 Gbps RJ45 copper 10/100BASE-TX/1000BASE-T Ethernet ports</v>
      </c>
      <c r="L16" s="178" t="s">
        <v>26</v>
      </c>
      <c r="M16" s="178"/>
      <c r="N16" s="178" t="s">
        <v>40</v>
      </c>
      <c r="O16" s="178" t="str">
        <f>HLOOKUP(Language!$C$3,Language!$E$1:$Z492,14,FALSE)</f>
        <v>Four 1 Gbps RJ45 copper 10/100BASE-TX/1000BASE-T Ethernet ports</v>
      </c>
      <c r="P16" s="178" t="s">
        <v>26</v>
      </c>
      <c r="Q16" s="178"/>
      <c r="R16" s="178" t="s">
        <v>40</v>
      </c>
      <c r="S16" s="178" t="str">
        <f>HLOOKUP(Language!$C$3,Language!$E$1:$Z492,14,FALSE)</f>
        <v>Four 1 Gbps RJ45 copper 10/100BASE-TX/1000BASE-T Ethernet ports</v>
      </c>
      <c r="T16" s="178" t="s">
        <v>26</v>
      </c>
      <c r="U16" s="178"/>
      <c r="V16" s="178" t="s">
        <v>40</v>
      </c>
      <c r="W16" s="261" t="str">
        <f>HLOOKUP(Language!$C$3,Language!$E$1:$Z492,14,FALSE)</f>
        <v>Four 1 Gbps RJ45 copper 10/100BASE-TX/1000BASE-T Ethernet ports</v>
      </c>
      <c r="X16" s="261" t="s">
        <v>26</v>
      </c>
      <c r="Y16" s="261"/>
      <c r="Z16" s="261" t="s">
        <v>40</v>
      </c>
      <c r="AA16" s="261" t="str">
        <f>HLOOKUP(Language!$C$3,Language!$E$1:$Z492,14,FALSE)</f>
        <v>Four 1 Gbps RJ45 copper 10/100BASE-TX/1000BASE-T Ethernet ports</v>
      </c>
      <c r="AB16" s="261" t="s">
        <v>26</v>
      </c>
      <c r="AC16" s="261"/>
      <c r="AD16" s="261" t="s">
        <v>40</v>
      </c>
    </row>
    <row r="17" spans="1:30">
      <c r="A17" s="179"/>
      <c r="B17" s="17"/>
      <c r="C17" s="180" t="str">
        <f>HLOOKUP(Language!$C$3,Language!$E$1:$Z493,15,FALSE)</f>
        <v>Four slots for SFP transceivers</v>
      </c>
      <c r="D17" s="180" t="s">
        <v>27</v>
      </c>
      <c r="E17" s="180"/>
      <c r="F17" s="180" t="s">
        <v>40</v>
      </c>
      <c r="G17" s="180" t="str">
        <f>HLOOKUP(Language!$C$3,Language!$E$1:$Z493,15,FALSE)</f>
        <v>Four slots for SFP transceivers</v>
      </c>
      <c r="H17" s="180" t="s">
        <v>27</v>
      </c>
      <c r="I17" s="180"/>
      <c r="J17" s="180" t="s">
        <v>40</v>
      </c>
      <c r="K17" s="180" t="str">
        <f>HLOOKUP(Language!$C$3,Language!$E$1:$Z493,15,FALSE)</f>
        <v>Four slots for SFP transceivers</v>
      </c>
      <c r="L17" s="180" t="s">
        <v>27</v>
      </c>
      <c r="M17" s="180"/>
      <c r="N17" s="180" t="s">
        <v>40</v>
      </c>
      <c r="O17" s="180" t="str">
        <f>HLOOKUP(Language!$C$3,Language!$E$1:$Z493,15,FALSE)</f>
        <v>Four slots for SFP transceivers</v>
      </c>
      <c r="P17" s="180" t="s">
        <v>27</v>
      </c>
      <c r="Q17" s="180"/>
      <c r="R17" s="180" t="s">
        <v>40</v>
      </c>
      <c r="S17" s="180" t="str">
        <f>HLOOKUP(Language!$C$3,Language!$E$1:$Z493,15,FALSE)</f>
        <v>Four slots for SFP transceivers</v>
      </c>
      <c r="T17" s="180" t="s">
        <v>27</v>
      </c>
      <c r="U17" s="180"/>
      <c r="V17" s="180" t="s">
        <v>40</v>
      </c>
      <c r="W17" s="262" t="str">
        <f>HLOOKUP(Language!$C$3,Language!$E$1:$Z493,15,FALSE)</f>
        <v>Four slots for SFP transceivers</v>
      </c>
      <c r="X17" s="262" t="s">
        <v>27</v>
      </c>
      <c r="Y17" s="262"/>
      <c r="Z17" s="262" t="s">
        <v>40</v>
      </c>
      <c r="AA17" s="262" t="str">
        <f>HLOOKUP(Language!$C$3,Language!$E$1:$Z493,15,FALSE)</f>
        <v>Four slots for SFP transceivers</v>
      </c>
      <c r="AB17" s="262" t="s">
        <v>27</v>
      </c>
      <c r="AC17" s="262"/>
      <c r="AD17" s="262" t="s">
        <v>40</v>
      </c>
    </row>
    <row r="18" spans="1:30">
      <c r="A18" s="179"/>
      <c r="B18" s="17"/>
      <c r="C18" s="180" t="str">
        <f>HLOOKUP(Language!$C$3,Language!$E$1:$Z494,16,FALSE)</f>
        <v>Four 1 Gbps LC-type connector multi mode fiber 1000BASE-SX Ethernet for up to 0.5 km</v>
      </c>
      <c r="D18" s="180" t="s">
        <v>29</v>
      </c>
      <c r="E18" s="180"/>
      <c r="F18" s="180" t="s">
        <v>40</v>
      </c>
      <c r="G18" s="180" t="str">
        <f>HLOOKUP(Language!$C$3,Language!$E$1:$Z494,16,FALSE)</f>
        <v>Four 1 Gbps LC-type connector multi mode fiber 1000BASE-SX Ethernet for up to 0.5 km</v>
      </c>
      <c r="H18" s="180" t="s">
        <v>29</v>
      </c>
      <c r="I18" s="180"/>
      <c r="J18" s="180" t="s">
        <v>40</v>
      </c>
      <c r="K18" s="180" t="str">
        <f>HLOOKUP(Language!$C$3,Language!$E$1:$Z494,16,FALSE)</f>
        <v>Four 1 Gbps LC-type connector multi mode fiber 1000BASE-SX Ethernet for up to 0.5 km</v>
      </c>
      <c r="L18" s="180" t="s">
        <v>29</v>
      </c>
      <c r="M18" s="180"/>
      <c r="N18" s="180" t="s">
        <v>40</v>
      </c>
      <c r="O18" s="180" t="str">
        <f>HLOOKUP(Language!$C$3,Language!$E$1:$Z494,16,FALSE)</f>
        <v>Four 1 Gbps LC-type connector multi mode fiber 1000BASE-SX Ethernet for up to 0.5 km</v>
      </c>
      <c r="P18" s="180" t="s">
        <v>29</v>
      </c>
      <c r="Q18" s="180"/>
      <c r="R18" s="180" t="s">
        <v>40</v>
      </c>
      <c r="S18" s="180" t="str">
        <f>HLOOKUP(Language!$C$3,Language!$E$1:$Z494,16,FALSE)</f>
        <v>Four 1 Gbps LC-type connector multi mode fiber 1000BASE-SX Ethernet for up to 0.5 km</v>
      </c>
      <c r="T18" s="180" t="s">
        <v>29</v>
      </c>
      <c r="U18" s="180"/>
      <c r="V18" s="180" t="s">
        <v>40</v>
      </c>
      <c r="W18" s="262" t="str">
        <f>HLOOKUP(Language!$C$3,Language!$E$1:$Z494,16,FALSE)</f>
        <v>Four 1 Gbps LC-type connector multi mode fiber 1000BASE-SX Ethernet for up to 0.5 km</v>
      </c>
      <c r="X18" s="262" t="s">
        <v>29</v>
      </c>
      <c r="Y18" s="262"/>
      <c r="Z18" s="262" t="s">
        <v>40</v>
      </c>
      <c r="AA18" s="262" t="str">
        <f>HLOOKUP(Language!$C$3,Language!$E$1:$Z494,16,FALSE)</f>
        <v>Four 1 Gbps LC-type connector multi mode fiber 1000BASE-SX Ethernet for up to 0.5 km</v>
      </c>
      <c r="AB18" s="262" t="s">
        <v>29</v>
      </c>
      <c r="AC18" s="262"/>
      <c r="AD18" s="262" t="s">
        <v>40</v>
      </c>
    </row>
    <row r="19" spans="1:30">
      <c r="A19" s="179"/>
      <c r="B19" s="17"/>
      <c r="C19" s="180" t="str">
        <f>HLOOKUP(Language!$C$3,Language!$E$1:$Z495,17,FALSE)</f>
        <v>Four 1 Gbps LC-type connector single mode fiber 1000BASE-LX Ethernet for up to 10 km</v>
      </c>
      <c r="D19" s="180" t="s">
        <v>30</v>
      </c>
      <c r="E19" s="180"/>
      <c r="F19" s="180" t="s">
        <v>40</v>
      </c>
      <c r="G19" s="180" t="str">
        <f>HLOOKUP(Language!$C$3,Language!$E$1:$Z495,17,FALSE)</f>
        <v>Four 1 Gbps LC-type connector single mode fiber 1000BASE-LX Ethernet for up to 10 km</v>
      </c>
      <c r="H19" s="180" t="s">
        <v>30</v>
      </c>
      <c r="I19" s="180"/>
      <c r="J19" s="180" t="s">
        <v>40</v>
      </c>
      <c r="K19" s="180" t="str">
        <f>HLOOKUP(Language!$C$3,Language!$E$1:$Z495,17,FALSE)</f>
        <v>Four 1 Gbps LC-type connector single mode fiber 1000BASE-LX Ethernet for up to 10 km</v>
      </c>
      <c r="L19" s="180" t="s">
        <v>30</v>
      </c>
      <c r="M19" s="180"/>
      <c r="N19" s="180" t="s">
        <v>40</v>
      </c>
      <c r="O19" s="180" t="str">
        <f>HLOOKUP(Language!$C$3,Language!$E$1:$Z495,17,FALSE)</f>
        <v>Four 1 Gbps LC-type connector single mode fiber 1000BASE-LX Ethernet for up to 10 km</v>
      </c>
      <c r="P19" s="180" t="s">
        <v>30</v>
      </c>
      <c r="Q19" s="180"/>
      <c r="R19" s="180" t="s">
        <v>40</v>
      </c>
      <c r="S19" s="180" t="str">
        <f>HLOOKUP(Language!$C$3,Language!$E$1:$Z495,17,FALSE)</f>
        <v>Four 1 Gbps LC-type connector single mode fiber 1000BASE-LX Ethernet for up to 10 km</v>
      </c>
      <c r="T19" s="180" t="s">
        <v>30</v>
      </c>
      <c r="U19" s="180"/>
      <c r="V19" s="180" t="s">
        <v>40</v>
      </c>
      <c r="W19" s="262" t="str">
        <f>HLOOKUP(Language!$C$3,Language!$E$1:$Z495,17,FALSE)</f>
        <v>Four 1 Gbps LC-type connector single mode fiber 1000BASE-LX Ethernet for up to 10 km</v>
      </c>
      <c r="X19" s="262" t="s">
        <v>30</v>
      </c>
      <c r="Y19" s="262"/>
      <c r="Z19" s="262" t="s">
        <v>40</v>
      </c>
      <c r="AA19" s="262" t="str">
        <f>HLOOKUP(Language!$C$3,Language!$E$1:$Z495,17,FALSE)</f>
        <v>Four 1 Gbps LC-type connector single mode fiber 1000BASE-LX Ethernet for up to 10 km</v>
      </c>
      <c r="AB19" s="262" t="s">
        <v>30</v>
      </c>
      <c r="AC19" s="262"/>
      <c r="AD19" s="262" t="s">
        <v>40</v>
      </c>
    </row>
    <row r="20" spans="1:30">
      <c r="A20" s="179"/>
      <c r="B20" s="17"/>
      <c r="C20" s="180" t="str">
        <f>HLOOKUP(Language!$C$3,Language!$E$1:$Z496,18,FALSE)</f>
        <v>Four 1 Gbps LC-type connector single mode fiber 1000BASE-ZX Ethernet for up to 40 km</v>
      </c>
      <c r="D20" s="180" t="s">
        <v>41</v>
      </c>
      <c r="E20" s="180"/>
      <c r="F20" s="180" t="s">
        <v>40</v>
      </c>
      <c r="G20" s="180" t="str">
        <f>HLOOKUP(Language!$C$3,Language!$E$1:$Z496,18,FALSE)</f>
        <v>Four 1 Gbps LC-type connector single mode fiber 1000BASE-ZX Ethernet for up to 40 km</v>
      </c>
      <c r="H20" s="180" t="s">
        <v>41</v>
      </c>
      <c r="I20" s="180"/>
      <c r="J20" s="180" t="s">
        <v>40</v>
      </c>
      <c r="K20" s="180" t="str">
        <f>HLOOKUP(Language!$C$3,Language!$E$1:$Z496,18,FALSE)</f>
        <v>Four 1 Gbps LC-type connector single mode fiber 1000BASE-ZX Ethernet for up to 40 km</v>
      </c>
      <c r="L20" s="180" t="s">
        <v>41</v>
      </c>
      <c r="M20" s="180"/>
      <c r="N20" s="180" t="s">
        <v>40</v>
      </c>
      <c r="O20" s="180" t="str">
        <f>HLOOKUP(Language!$C$3,Language!$E$1:$Z496,18,FALSE)</f>
        <v>Four 1 Gbps LC-type connector single mode fiber 1000BASE-ZX Ethernet for up to 40 km</v>
      </c>
      <c r="P20" s="180" t="s">
        <v>41</v>
      </c>
      <c r="Q20" s="180"/>
      <c r="R20" s="180" t="s">
        <v>40</v>
      </c>
      <c r="S20" s="180" t="str">
        <f>HLOOKUP(Language!$C$3,Language!$E$1:$Z496,18,FALSE)</f>
        <v>Four 1 Gbps LC-type connector single mode fiber 1000BASE-ZX Ethernet for up to 40 km</v>
      </c>
      <c r="T20" s="180" t="s">
        <v>41</v>
      </c>
      <c r="U20" s="180"/>
      <c r="V20" s="180" t="s">
        <v>40</v>
      </c>
      <c r="W20" s="262" t="str">
        <f>HLOOKUP(Language!$C$3,Language!$E$1:$Z496,18,FALSE)</f>
        <v>Four 1 Gbps LC-type connector single mode fiber 1000BASE-ZX Ethernet for up to 40 km</v>
      </c>
      <c r="X20" s="262" t="s">
        <v>41</v>
      </c>
      <c r="Y20" s="262"/>
      <c r="Z20" s="262" t="s">
        <v>40</v>
      </c>
      <c r="AA20" s="262" t="str">
        <f>HLOOKUP(Language!$C$3,Language!$E$1:$Z496,18,FALSE)</f>
        <v>Four 1 Gbps LC-type connector single mode fiber 1000BASE-ZX Ethernet for up to 40 km</v>
      </c>
      <c r="AB20" s="262" t="s">
        <v>41</v>
      </c>
      <c r="AC20" s="262"/>
      <c r="AD20" s="262" t="s">
        <v>40</v>
      </c>
    </row>
    <row r="21" spans="1:30">
      <c r="A21" s="179"/>
      <c r="B21" s="17"/>
      <c r="C21" s="180" t="str">
        <f>HLOOKUP(Language!$C$3,Language!$E$1:$Z497,19,FALSE)</f>
        <v>Four 1 Gbps LC-type connector single mode fiber 1000BASE-ZX Ethernet for up to 80 km</v>
      </c>
      <c r="D21" s="180" t="s">
        <v>42</v>
      </c>
      <c r="E21" s="180"/>
      <c r="F21" s="180" t="s">
        <v>40</v>
      </c>
      <c r="G21" s="180" t="str">
        <f>HLOOKUP(Language!$C$3,Language!$E$1:$Z497,19,FALSE)</f>
        <v>Four 1 Gbps LC-type connector single mode fiber 1000BASE-ZX Ethernet for up to 80 km</v>
      </c>
      <c r="H21" s="180" t="s">
        <v>42</v>
      </c>
      <c r="I21" s="180"/>
      <c r="J21" s="180" t="s">
        <v>40</v>
      </c>
      <c r="K21" s="180" t="str">
        <f>HLOOKUP(Language!$C$3,Language!$E$1:$Z497,19,FALSE)</f>
        <v>Four 1 Gbps LC-type connector single mode fiber 1000BASE-ZX Ethernet for up to 80 km</v>
      </c>
      <c r="L21" s="180" t="s">
        <v>42</v>
      </c>
      <c r="M21" s="180"/>
      <c r="N21" s="180" t="s">
        <v>40</v>
      </c>
      <c r="O21" s="180" t="str">
        <f>HLOOKUP(Language!$C$3,Language!$E$1:$Z497,19,FALSE)</f>
        <v>Four 1 Gbps LC-type connector single mode fiber 1000BASE-ZX Ethernet for up to 80 km</v>
      </c>
      <c r="P21" s="180" t="s">
        <v>42</v>
      </c>
      <c r="Q21" s="180"/>
      <c r="R21" s="180" t="s">
        <v>40</v>
      </c>
      <c r="S21" s="180" t="str">
        <f>HLOOKUP(Language!$C$3,Language!$E$1:$Z497,19,FALSE)</f>
        <v>Four 1 Gbps LC-type connector single mode fiber 1000BASE-ZX Ethernet for up to 80 km</v>
      </c>
      <c r="T21" s="180" t="s">
        <v>42</v>
      </c>
      <c r="U21" s="180"/>
      <c r="V21" s="180" t="s">
        <v>40</v>
      </c>
      <c r="W21" s="262" t="str">
        <f>HLOOKUP(Language!$C$3,Language!$E$1:$Z497,19,FALSE)</f>
        <v>Four 1 Gbps LC-type connector single mode fiber 1000BASE-ZX Ethernet for up to 80 km</v>
      </c>
      <c r="X21" s="262" t="s">
        <v>42</v>
      </c>
      <c r="Y21" s="262"/>
      <c r="Z21" s="262" t="s">
        <v>40</v>
      </c>
      <c r="AA21" s="262" t="str">
        <f>HLOOKUP(Language!$C$3,Language!$E$1:$Z497,19,FALSE)</f>
        <v>Four 1 Gbps LC-type connector single mode fiber 1000BASE-ZX Ethernet for up to 80 km</v>
      </c>
      <c r="AB21" s="262" t="s">
        <v>42</v>
      </c>
      <c r="AC21" s="262"/>
      <c r="AD21" s="262" t="s">
        <v>40</v>
      </c>
    </row>
    <row r="22" spans="1:30">
      <c r="A22" s="179"/>
      <c r="B22" s="17"/>
      <c r="C22" s="180" t="str">
        <f>HLOOKUP(Language!$C$3,Language!$E$1:$Z498,20,FALSE)</f>
        <v>Four 100 Mbps LC-type connector multi mode fiber 100BASE-FX Ethernet for up to 2 km</v>
      </c>
      <c r="D22" s="180" t="s">
        <v>43</v>
      </c>
      <c r="E22" s="180"/>
      <c r="F22" s="180" t="s">
        <v>40</v>
      </c>
      <c r="G22" s="180" t="str">
        <f>HLOOKUP(Language!$C$3,Language!$E$1:$Z498,20,FALSE)</f>
        <v>Four 100 Mbps LC-type connector multi mode fiber 100BASE-FX Ethernet for up to 2 km</v>
      </c>
      <c r="H22" s="180" t="s">
        <v>43</v>
      </c>
      <c r="I22" s="180"/>
      <c r="J22" s="180" t="s">
        <v>40</v>
      </c>
      <c r="K22" s="180" t="str">
        <f>HLOOKUP(Language!$C$3,Language!$E$1:$Z498,20,FALSE)</f>
        <v>Four 100 Mbps LC-type connector multi mode fiber 100BASE-FX Ethernet for up to 2 km</v>
      </c>
      <c r="L22" s="180" t="s">
        <v>43</v>
      </c>
      <c r="M22" s="180"/>
      <c r="N22" s="180" t="s">
        <v>40</v>
      </c>
      <c r="O22" s="180" t="str">
        <f>HLOOKUP(Language!$C$3,Language!$E$1:$Z498,20,FALSE)</f>
        <v>Four 100 Mbps LC-type connector multi mode fiber 100BASE-FX Ethernet for up to 2 km</v>
      </c>
      <c r="P22" s="180" t="s">
        <v>43</v>
      </c>
      <c r="Q22" s="180"/>
      <c r="R22" s="180" t="s">
        <v>40</v>
      </c>
      <c r="S22" s="180" t="str">
        <f>HLOOKUP(Language!$C$3,Language!$E$1:$Z498,20,FALSE)</f>
        <v>Four 100 Mbps LC-type connector multi mode fiber 100BASE-FX Ethernet for up to 2 km</v>
      </c>
      <c r="T22" s="180" t="s">
        <v>43</v>
      </c>
      <c r="U22" s="180"/>
      <c r="V22" s="180" t="s">
        <v>40</v>
      </c>
      <c r="W22" s="262" t="str">
        <f>HLOOKUP(Language!$C$3,Language!$E$1:$Z498,20,FALSE)</f>
        <v>Four 100 Mbps LC-type connector multi mode fiber 100BASE-FX Ethernet for up to 2 km</v>
      </c>
      <c r="X22" s="262" t="s">
        <v>43</v>
      </c>
      <c r="Y22" s="262"/>
      <c r="Z22" s="262" t="s">
        <v>40</v>
      </c>
      <c r="AA22" s="262" t="str">
        <f>HLOOKUP(Language!$C$3,Language!$E$1:$Z498,20,FALSE)</f>
        <v>Four 100 Mbps LC-type connector multi mode fiber 100BASE-FX Ethernet for up to 2 km</v>
      </c>
      <c r="AB22" s="262" t="s">
        <v>43</v>
      </c>
      <c r="AC22" s="262"/>
      <c r="AD22" s="262" t="s">
        <v>40</v>
      </c>
    </row>
    <row r="23" spans="1:30">
      <c r="A23" s="179"/>
      <c r="B23" s="17"/>
      <c r="C23" s="180" t="str">
        <f>HLOOKUP(Language!$C$3,Language!$E$1:$Z499,21,FALSE)</f>
        <v>Four RJ45 copper 10/100BASE-TX</v>
      </c>
      <c r="D23" s="180" t="s">
        <v>120</v>
      </c>
      <c r="E23" s="180"/>
      <c r="F23" s="180" t="s">
        <v>40</v>
      </c>
      <c r="G23" s="180" t="str">
        <f>HLOOKUP(Language!$C$3,Language!$E$1:$Z477,22,FALSE)</f>
        <v>Not installed</v>
      </c>
      <c r="H23" s="180" t="s">
        <v>28</v>
      </c>
      <c r="I23" s="180"/>
      <c r="J23" s="180" t="s">
        <v>40</v>
      </c>
      <c r="K23" s="180" t="str">
        <f>HLOOKUP(Language!$C$3,Language!$E$1:$Z499,21,FALSE)</f>
        <v>Four RJ45 copper 10/100BASE-TX</v>
      </c>
      <c r="L23" s="180" t="s">
        <v>120</v>
      </c>
      <c r="M23" s="180"/>
      <c r="N23" s="180" t="s">
        <v>40</v>
      </c>
      <c r="O23" s="180" t="str">
        <f>HLOOKUP(Language!$C$3,Language!$E$1:$Z499,21,FALSE)</f>
        <v>Four RJ45 copper 10/100BASE-TX</v>
      </c>
      <c r="P23" s="180" t="s">
        <v>120</v>
      </c>
      <c r="Q23" s="180"/>
      <c r="R23" s="180" t="s">
        <v>40</v>
      </c>
      <c r="S23" s="180" t="str">
        <f>HLOOKUP(Language!$C$3,Language!$E$1:$Z499,21,FALSE)</f>
        <v>Four RJ45 copper 10/100BASE-TX</v>
      </c>
      <c r="T23" s="180" t="s">
        <v>120</v>
      </c>
      <c r="U23" s="180"/>
      <c r="V23" s="180" t="s">
        <v>40</v>
      </c>
      <c r="W23" s="262" t="str">
        <f>HLOOKUP(Language!$C$3,Language!$E$1:$Z499,21,FALSE)</f>
        <v>Four RJ45 copper 10/100BASE-TX</v>
      </c>
      <c r="X23" s="262" t="s">
        <v>120</v>
      </c>
      <c r="Y23" s="262"/>
      <c r="Z23" s="262" t="s">
        <v>40</v>
      </c>
      <c r="AA23" s="262" t="str">
        <f>HLOOKUP(Language!$C$3,Language!$E$1:$Z499,21,FALSE)</f>
        <v>Four RJ45 copper 10/100BASE-TX</v>
      </c>
      <c r="AB23" s="262" t="s">
        <v>120</v>
      </c>
      <c r="AC23" s="262"/>
      <c r="AD23" s="262" t="s">
        <v>40</v>
      </c>
    </row>
    <row r="24" spans="1:30" ht="24">
      <c r="A24" s="179"/>
      <c r="B24" s="17"/>
      <c r="C24" s="192" t="str">
        <f>HLOOKUP(Language!$C$3,Language!$E$1:$Z499,49,FALSE)</f>
        <v>Four 1 Gbps RJ45 SFP Transceivers 10/100BASE-TX/1000BASE-T Ethernet ports (Not CE marked)</v>
      </c>
      <c r="D24" s="180" t="s">
        <v>114</v>
      </c>
      <c r="E24" s="180"/>
      <c r="F24" s="180" t="s">
        <v>40</v>
      </c>
      <c r="G24" s="180"/>
      <c r="H24" s="180"/>
      <c r="I24" s="180"/>
      <c r="J24" s="180" t="s">
        <v>40</v>
      </c>
      <c r="K24" s="192" t="str">
        <f>HLOOKUP(Language!$C$3,Language!$E$1:$Z499,49,FALSE)</f>
        <v>Four 1 Gbps RJ45 SFP Transceivers 10/100BASE-TX/1000BASE-T Ethernet ports (Not CE marked)</v>
      </c>
      <c r="L24" s="180" t="s">
        <v>114</v>
      </c>
      <c r="M24" s="180"/>
      <c r="N24" s="180" t="s">
        <v>40</v>
      </c>
      <c r="O24" s="192" t="str">
        <f>HLOOKUP(Language!$C$3,Language!$E$1:$Z499,49,FALSE)</f>
        <v>Four 1 Gbps RJ45 SFP Transceivers 10/100BASE-TX/1000BASE-T Ethernet ports (Not CE marked)</v>
      </c>
      <c r="P24" s="180" t="s">
        <v>114</v>
      </c>
      <c r="Q24" s="180"/>
      <c r="R24" s="180" t="s">
        <v>40</v>
      </c>
      <c r="S24" s="192" t="str">
        <f>HLOOKUP(Language!$C$3,Language!$E$1:$Z499,49,FALSE)</f>
        <v>Four 1 Gbps RJ45 SFP Transceivers 10/100BASE-TX/1000BASE-T Ethernet ports (Not CE marked)</v>
      </c>
      <c r="T24" s="180" t="s">
        <v>114</v>
      </c>
      <c r="U24" s="180"/>
      <c r="V24" s="180" t="s">
        <v>40</v>
      </c>
      <c r="W24" s="192" t="str">
        <f>HLOOKUP(Language!$C$3,Language!$E$1:$Z499,49,FALSE)</f>
        <v>Four 1 Gbps RJ45 SFP Transceivers 10/100BASE-TX/1000BASE-T Ethernet ports (Not CE marked)</v>
      </c>
      <c r="X24" s="262" t="s">
        <v>114</v>
      </c>
      <c r="Y24" s="262"/>
      <c r="Z24" s="262" t="s">
        <v>40</v>
      </c>
      <c r="AA24" s="192" t="str">
        <f>HLOOKUP(Language!$C$3,Language!$E$1:$Z499,52,FALSE)</f>
        <v>Two 1 Gbps LC-type connector multi mode fiber 1000BASE-SX Ethernet for up to 0.5 km + Two 100 Mbps LC-type connector multi mode fiber 100BASE-FX Ethernet for up to 2 km</v>
      </c>
      <c r="AB24" s="262" t="s">
        <v>119</v>
      </c>
      <c r="AC24" s="262"/>
      <c r="AD24" s="262" t="s">
        <v>40</v>
      </c>
    </row>
    <row r="25" spans="1:30" ht="24">
      <c r="A25" s="179"/>
      <c r="B25" s="17"/>
      <c r="C25" s="192" t="str">
        <f>HLOOKUP(Language!$C$3,Language!$E$1:$Z500,50,FALSE)</f>
        <v>Two 1 Gbps RJ45 SFP Transceivers 10/100BASE-TX/1000BASE-T Ethernet ports + Two 1 Gbps LC-type connector multi mode fiber 1000BASE-SX Ethernet for up to 0.5 km</v>
      </c>
      <c r="D25" s="180" t="s">
        <v>117</v>
      </c>
      <c r="E25" s="180"/>
      <c r="F25" s="180" t="s">
        <v>40</v>
      </c>
      <c r="G25" s="15"/>
      <c r="H25" s="15"/>
      <c r="I25" s="180"/>
      <c r="J25" s="15"/>
      <c r="K25" s="192" t="str">
        <f>HLOOKUP(Language!$C$3,Language!$E$1:$Z500,50,FALSE)</f>
        <v>Two 1 Gbps RJ45 SFP Transceivers 10/100BASE-TX/1000BASE-T Ethernet ports + Two 1 Gbps LC-type connector multi mode fiber 1000BASE-SX Ethernet for up to 0.5 km</v>
      </c>
      <c r="L25" s="180" t="s">
        <v>117</v>
      </c>
      <c r="M25" s="180"/>
      <c r="N25" s="180" t="s">
        <v>40</v>
      </c>
      <c r="O25" s="192" t="str">
        <f>HLOOKUP(Language!$C$3,Language!$E$1:$Z500,50,FALSE)</f>
        <v>Two 1 Gbps RJ45 SFP Transceivers 10/100BASE-TX/1000BASE-T Ethernet ports + Two 1 Gbps LC-type connector multi mode fiber 1000BASE-SX Ethernet for up to 0.5 km</v>
      </c>
      <c r="P25" s="180" t="s">
        <v>117</v>
      </c>
      <c r="Q25" s="180"/>
      <c r="R25" s="180" t="s">
        <v>40</v>
      </c>
      <c r="S25" s="192" t="str">
        <f>HLOOKUP(Language!$C$3,Language!$E$1:$Z500,50,FALSE)</f>
        <v>Two 1 Gbps RJ45 SFP Transceivers 10/100BASE-TX/1000BASE-T Ethernet ports + Two 1 Gbps LC-type connector multi mode fiber 1000BASE-SX Ethernet for up to 0.5 km</v>
      </c>
      <c r="T25" s="180" t="s">
        <v>117</v>
      </c>
      <c r="U25" s="180"/>
      <c r="V25" s="180" t="s">
        <v>40</v>
      </c>
      <c r="W25" s="192" t="str">
        <f>HLOOKUP(Language!$C$3,Language!$E$1:$Z500,50,FALSE)</f>
        <v>Two 1 Gbps RJ45 SFP Transceivers 10/100BASE-TX/1000BASE-T Ethernet ports + Two 1 Gbps LC-type connector multi mode fiber 1000BASE-SX Ethernet for up to 0.5 km</v>
      </c>
      <c r="X25" s="262" t="s">
        <v>117</v>
      </c>
      <c r="Y25" s="262"/>
      <c r="Z25" s="262" t="s">
        <v>40</v>
      </c>
      <c r="AA25" s="192" t="str">
        <f>HLOOKUP(Language!$C$3,Language!$E$1:$Z500,70,FALSE)</f>
        <v>Four 1 Gbps RJ45 SFP Transceivers 10/100BASE-TX/1000BASE-T Ethernet ports (Not CE marked) (Withdraw)</v>
      </c>
      <c r="AB25" s="262" t="s">
        <v>114</v>
      </c>
      <c r="AC25" s="262"/>
      <c r="AD25" s="262" t="s">
        <v>40</v>
      </c>
    </row>
    <row r="26" spans="1:30" ht="24">
      <c r="A26" s="179"/>
      <c r="B26" s="17"/>
      <c r="C26" s="192" t="str">
        <f>HLOOKUP(Language!$C$3,Language!$E$1:$Z501,51,FALSE)</f>
        <v>Two 1 Gbps RJ45 SFP Transceivers 10/100BASE-TX/1000BASE-T Ethernet ports + Two 100 Mbps LC-type connector multi mode fiber 100BASE-FX Ethernet for up to 2 km</v>
      </c>
      <c r="D26" s="180" t="s">
        <v>118</v>
      </c>
      <c r="E26" s="180"/>
      <c r="F26" s="180" t="s">
        <v>40</v>
      </c>
      <c r="G26" s="180"/>
      <c r="H26" s="180"/>
      <c r="I26" s="180"/>
      <c r="J26" s="180"/>
      <c r="K26" s="192" t="str">
        <f>HLOOKUP(Language!$C$3,Language!$E$1:$Z501,51,FALSE)</f>
        <v>Two 1 Gbps RJ45 SFP Transceivers 10/100BASE-TX/1000BASE-T Ethernet ports + Two 100 Mbps LC-type connector multi mode fiber 100BASE-FX Ethernet for up to 2 km</v>
      </c>
      <c r="L26" s="180" t="s">
        <v>118</v>
      </c>
      <c r="M26" s="180"/>
      <c r="N26" s="180" t="s">
        <v>40</v>
      </c>
      <c r="O26" s="192" t="str">
        <f>HLOOKUP(Language!$C$3,Language!$E$1:$Z501,51,FALSE)</f>
        <v>Two 1 Gbps RJ45 SFP Transceivers 10/100BASE-TX/1000BASE-T Ethernet ports + Two 100 Mbps LC-type connector multi mode fiber 100BASE-FX Ethernet for up to 2 km</v>
      </c>
      <c r="P26" s="180" t="s">
        <v>118</v>
      </c>
      <c r="Q26" s="180"/>
      <c r="R26" s="180" t="s">
        <v>40</v>
      </c>
      <c r="S26" s="192" t="str">
        <f>HLOOKUP(Language!$C$3,Language!$E$1:$Z501,51,FALSE)</f>
        <v>Two 1 Gbps RJ45 SFP Transceivers 10/100BASE-TX/1000BASE-T Ethernet ports + Two 100 Mbps LC-type connector multi mode fiber 100BASE-FX Ethernet for up to 2 km</v>
      </c>
      <c r="T26" s="180" t="s">
        <v>118</v>
      </c>
      <c r="U26" s="180"/>
      <c r="V26" s="180" t="s">
        <v>40</v>
      </c>
      <c r="W26" s="192" t="str">
        <f>HLOOKUP(Language!$C$3,Language!$E$1:$Z501,51,FALSE)</f>
        <v>Two 1 Gbps RJ45 SFP Transceivers 10/100BASE-TX/1000BASE-T Ethernet ports + Two 100 Mbps LC-type connector multi mode fiber 100BASE-FX Ethernet for up to 2 km</v>
      </c>
      <c r="X26" s="262" t="s">
        <v>118</v>
      </c>
      <c r="Y26" s="262"/>
      <c r="Z26" s="262" t="s">
        <v>40</v>
      </c>
      <c r="AA26" s="192" t="str">
        <f>HLOOKUP(Language!$C$3,Language!$E$1:$Z501,71,FALSE)</f>
        <v>Two 1 Gbps RJ45 SFP Transceivers 10/100BASE-TX/1000BASE-T Ethernet ports + Two 1 Gbps LC-type connector multi mode fiber 1000BASE-SX Ethernet for up to 0.5 km  (Withdraw)</v>
      </c>
      <c r="AB26" s="262" t="s">
        <v>117</v>
      </c>
      <c r="AC26" s="262"/>
      <c r="AD26" s="262" t="s">
        <v>40</v>
      </c>
    </row>
    <row r="27" spans="1:30" ht="24">
      <c r="A27" s="179"/>
      <c r="B27" s="17"/>
      <c r="C27" s="192" t="str">
        <f>HLOOKUP(Language!$C$3,Language!$E$1:$Z502,52,FALSE)</f>
        <v>Two 1 Gbps LC-type connector multi mode fiber 1000BASE-SX Ethernet for up to 0.5 km + Two 100 Mbps LC-type connector multi mode fiber 100BASE-FX Ethernet for up to 2 km</v>
      </c>
      <c r="D27" s="180" t="s">
        <v>119</v>
      </c>
      <c r="E27" s="180"/>
      <c r="F27" s="180" t="s">
        <v>40</v>
      </c>
      <c r="G27" s="180"/>
      <c r="H27" s="180"/>
      <c r="I27" s="180"/>
      <c r="J27" s="180"/>
      <c r="K27" s="192" t="str">
        <f>HLOOKUP(Language!$C$3,Language!$E$1:$Z502,52,FALSE)</f>
        <v>Two 1 Gbps LC-type connector multi mode fiber 1000BASE-SX Ethernet for up to 0.5 km + Two 100 Mbps LC-type connector multi mode fiber 100BASE-FX Ethernet for up to 2 km</v>
      </c>
      <c r="L27" s="180" t="s">
        <v>119</v>
      </c>
      <c r="M27" s="180"/>
      <c r="N27" s="180" t="s">
        <v>40</v>
      </c>
      <c r="O27" s="192" t="str">
        <f>HLOOKUP(Language!$C$3,Language!$E$1:$Z502,52,FALSE)</f>
        <v>Two 1 Gbps LC-type connector multi mode fiber 1000BASE-SX Ethernet for up to 0.5 km + Two 100 Mbps LC-type connector multi mode fiber 100BASE-FX Ethernet for up to 2 km</v>
      </c>
      <c r="P27" s="180" t="s">
        <v>119</v>
      </c>
      <c r="Q27" s="180"/>
      <c r="R27" s="180" t="s">
        <v>40</v>
      </c>
      <c r="S27" s="192" t="str">
        <f>HLOOKUP(Language!$C$3,Language!$E$1:$Z502,52,FALSE)</f>
        <v>Two 1 Gbps LC-type connector multi mode fiber 1000BASE-SX Ethernet for up to 0.5 km + Two 100 Mbps LC-type connector multi mode fiber 100BASE-FX Ethernet for up to 2 km</v>
      </c>
      <c r="T27" s="180" t="s">
        <v>119</v>
      </c>
      <c r="U27" s="180"/>
      <c r="V27" s="180" t="s">
        <v>40</v>
      </c>
      <c r="W27" s="192" t="str">
        <f>HLOOKUP(Language!$C$3,Language!$E$1:$Z502,52,FALSE)</f>
        <v>Two 1 Gbps LC-type connector multi mode fiber 1000BASE-SX Ethernet for up to 0.5 km + Two 100 Mbps LC-type connector multi mode fiber 100BASE-FX Ethernet for up to 2 km</v>
      </c>
      <c r="X27" s="262" t="s">
        <v>119</v>
      </c>
      <c r="Y27" s="262"/>
      <c r="Z27" s="262" t="s">
        <v>40</v>
      </c>
      <c r="AA27" s="192" t="str">
        <f>HLOOKUP(Language!$C$3,Language!$E$1:$Z502,72,FALSE)</f>
        <v>Two 1 Gbps RJ45 SFP Transceivers 10/100BASE-TX/1000BASE-T Ethernet ports + Two 100 Mbps LC-type connector multi mode fiber 100BASE-FX Ethernet for up to 2 km (Withdraw)</v>
      </c>
      <c r="AB27" s="262" t="s">
        <v>118</v>
      </c>
      <c r="AC27" s="262"/>
      <c r="AD27" s="262" t="s">
        <v>40</v>
      </c>
    </row>
    <row r="28" spans="1:30">
      <c r="A28" s="179"/>
      <c r="B28" s="17"/>
      <c r="C28" s="180" t="str">
        <f>HLOOKUP(Language!$C$3,Language!$E$1:$Z481,22,FALSE)</f>
        <v>Not installed</v>
      </c>
      <c r="D28" s="180" t="s">
        <v>28</v>
      </c>
      <c r="E28" s="180"/>
      <c r="F28" s="180" t="s">
        <v>40</v>
      </c>
      <c r="G28" s="180"/>
      <c r="H28" s="180"/>
      <c r="I28" s="180"/>
      <c r="J28" s="180"/>
      <c r="K28" s="180" t="str">
        <f>HLOOKUP(Language!$C$3,Language!$E$1:$Z481,22,FALSE)</f>
        <v>Not installed</v>
      </c>
      <c r="L28" s="180" t="s">
        <v>28</v>
      </c>
      <c r="M28" s="180"/>
      <c r="N28" s="180" t="s">
        <v>40</v>
      </c>
      <c r="O28" s="180" t="str">
        <f>HLOOKUP(Language!$C$3,Language!$E$1:$Z481,22,FALSE)</f>
        <v>Not installed</v>
      </c>
      <c r="P28" s="180" t="s">
        <v>28</v>
      </c>
      <c r="Q28" s="180"/>
      <c r="R28" s="180" t="s">
        <v>40</v>
      </c>
      <c r="S28" s="180" t="str">
        <f>HLOOKUP(Language!$C$3,Language!$E$1:$Z481,22,FALSE)</f>
        <v>Not installed</v>
      </c>
      <c r="T28" s="180" t="s">
        <v>28</v>
      </c>
      <c r="U28" s="180"/>
      <c r="V28" s="180" t="s">
        <v>40</v>
      </c>
      <c r="W28" s="262" t="str">
        <f>HLOOKUP(Language!$C$3,Language!$E$1:$Z481,22,FALSE)</f>
        <v>Not installed</v>
      </c>
      <c r="X28" s="262" t="s">
        <v>28</v>
      </c>
      <c r="Y28" s="262"/>
      <c r="Z28" s="262" t="s">
        <v>40</v>
      </c>
      <c r="AA28" s="262" t="str">
        <f>HLOOKUP(Language!$C$3,Language!$E$1:$Z481,74,FALSE)</f>
        <v>Not installed (Withdraw)</v>
      </c>
      <c r="AB28" s="262" t="s">
        <v>28</v>
      </c>
      <c r="AC28" s="262"/>
      <c r="AD28" s="262" t="s">
        <v>40</v>
      </c>
    </row>
    <row r="29" spans="1:30">
      <c r="A29" s="179"/>
      <c r="B29" s="17"/>
      <c r="C29" s="180"/>
      <c r="D29" s="180"/>
      <c r="E29" s="180"/>
      <c r="F29" s="180"/>
      <c r="G29" s="180"/>
      <c r="H29" s="180"/>
      <c r="I29" s="180"/>
      <c r="J29" s="180"/>
      <c r="K29" s="180"/>
      <c r="L29" s="180"/>
      <c r="M29" s="180"/>
      <c r="N29" s="180"/>
      <c r="O29" s="180"/>
      <c r="P29" s="180"/>
      <c r="Q29" s="180"/>
      <c r="R29" s="180"/>
      <c r="S29" s="180"/>
      <c r="T29" s="180"/>
      <c r="U29" s="180"/>
      <c r="V29" s="180"/>
      <c r="W29" s="262"/>
      <c r="X29" s="262"/>
      <c r="Y29" s="262"/>
      <c r="Z29" s="262"/>
      <c r="AA29" s="262"/>
      <c r="AB29" s="262"/>
      <c r="AC29" s="262"/>
      <c r="AD29" s="262"/>
    </row>
    <row r="30" spans="1:30">
      <c r="A30" s="179"/>
      <c r="B30" s="17"/>
      <c r="C30" s="180"/>
      <c r="D30" s="180"/>
      <c r="E30" s="180"/>
      <c r="F30" s="180"/>
      <c r="G30" s="180"/>
      <c r="H30" s="180"/>
      <c r="I30" s="180"/>
      <c r="J30" s="180"/>
      <c r="K30" s="180"/>
      <c r="L30" s="180"/>
      <c r="M30" s="180"/>
      <c r="N30" s="180"/>
      <c r="O30" s="180"/>
      <c r="P30" s="180"/>
      <c r="Q30" s="180"/>
      <c r="R30" s="180"/>
      <c r="S30" s="180"/>
      <c r="T30" s="180"/>
      <c r="U30" s="180"/>
      <c r="V30" s="180"/>
      <c r="W30" s="262"/>
      <c r="X30" s="262"/>
      <c r="Y30" s="262"/>
      <c r="Z30" s="262"/>
      <c r="AA30" s="262"/>
      <c r="AB30" s="262"/>
      <c r="AC30" s="262"/>
      <c r="AD30" s="262"/>
    </row>
    <row r="31" spans="1:30">
      <c r="A31" s="181"/>
      <c r="B31" s="23"/>
      <c r="C31" s="182"/>
      <c r="D31" s="182"/>
      <c r="E31" s="182"/>
      <c r="F31" s="182"/>
      <c r="G31" s="182"/>
      <c r="H31" s="182"/>
      <c r="I31" s="182"/>
      <c r="J31" s="182"/>
      <c r="K31" s="182"/>
      <c r="L31" s="182"/>
      <c r="M31" s="182"/>
      <c r="N31" s="182"/>
      <c r="O31" s="182"/>
      <c r="P31" s="182"/>
      <c r="Q31" s="182"/>
      <c r="R31" s="182"/>
      <c r="S31" s="182"/>
      <c r="T31" s="182"/>
      <c r="U31" s="182"/>
      <c r="V31" s="182"/>
      <c r="W31" s="263"/>
      <c r="X31" s="263"/>
      <c r="Y31" s="263"/>
      <c r="Z31" s="263"/>
      <c r="AA31" s="263"/>
      <c r="AB31" s="263"/>
      <c r="AC31" s="263"/>
      <c r="AD31" s="263"/>
    </row>
    <row r="32" spans="1:30">
      <c r="A32" s="177">
        <v>5</v>
      </c>
      <c r="B32" s="16" t="str">
        <f>HLOOKUP(Language!$C$3,Language!$E$1:$Z490,10,FALSE)</f>
        <v>Interface Module 2</v>
      </c>
      <c r="C32" s="178" t="str">
        <f>HLOOKUP(Language!$C$3,Language!$E$1:$Z492,14,FALSE)</f>
        <v>Four 1 Gbps RJ45 copper 10/100BASE-TX/1000BASE-T Ethernet ports</v>
      </c>
      <c r="D32" s="178" t="s">
        <v>26</v>
      </c>
      <c r="E32" s="178"/>
      <c r="F32" s="178" t="s">
        <v>40</v>
      </c>
      <c r="G32" s="178" t="str">
        <f>HLOOKUP(Language!$C$3,Language!$E$1:$Z492,14,FALSE)</f>
        <v>Four 1 Gbps RJ45 copper 10/100BASE-TX/1000BASE-T Ethernet ports</v>
      </c>
      <c r="H32" s="178" t="s">
        <v>26</v>
      </c>
      <c r="I32" s="178"/>
      <c r="J32" s="178" t="s">
        <v>40</v>
      </c>
      <c r="K32" s="178" t="str">
        <f>HLOOKUP(Language!$C$3,Language!$E$1:$Z492,14,FALSE)</f>
        <v>Four 1 Gbps RJ45 copper 10/100BASE-TX/1000BASE-T Ethernet ports</v>
      </c>
      <c r="L32" s="178" t="s">
        <v>26</v>
      </c>
      <c r="M32" s="178"/>
      <c r="N32" s="178" t="s">
        <v>40</v>
      </c>
      <c r="O32" s="178" t="str">
        <f>HLOOKUP(Language!$C$3,Language!$E$1:$Z492,14,FALSE)</f>
        <v>Four 1 Gbps RJ45 copper 10/100BASE-TX/1000BASE-T Ethernet ports</v>
      </c>
      <c r="P32" s="178" t="s">
        <v>26</v>
      </c>
      <c r="Q32" s="178"/>
      <c r="R32" s="178" t="s">
        <v>40</v>
      </c>
      <c r="S32" s="178" t="str">
        <f>HLOOKUP(Language!$C$3,Language!$E$1:$Z492,14,FALSE)</f>
        <v>Four 1 Gbps RJ45 copper 10/100BASE-TX/1000BASE-T Ethernet ports</v>
      </c>
      <c r="T32" s="178" t="s">
        <v>26</v>
      </c>
      <c r="U32" s="178"/>
      <c r="V32" s="178" t="s">
        <v>40</v>
      </c>
      <c r="W32" s="261" t="str">
        <f>HLOOKUP(Language!$C$3,Language!$E$1:$Z492,14,FALSE)</f>
        <v>Four 1 Gbps RJ45 copper 10/100BASE-TX/1000BASE-T Ethernet ports</v>
      </c>
      <c r="X32" s="261" t="s">
        <v>26</v>
      </c>
      <c r="Y32" s="261"/>
      <c r="Z32" s="261" t="s">
        <v>40</v>
      </c>
      <c r="AA32" s="261" t="str">
        <f>HLOOKUP(Language!$C$3,Language!$E$1:$Z492,14,FALSE)</f>
        <v>Four 1 Gbps RJ45 copper 10/100BASE-TX/1000BASE-T Ethernet ports</v>
      </c>
      <c r="AB32" s="261" t="s">
        <v>26</v>
      </c>
      <c r="AC32" s="261"/>
      <c r="AD32" s="261" t="s">
        <v>40</v>
      </c>
    </row>
    <row r="33" spans="1:30">
      <c r="A33" s="179"/>
      <c r="B33" s="17"/>
      <c r="C33" s="122" t="str">
        <f>HLOOKUP(Language!$C$3,Language!$E$1:$Z492,15,FALSE)</f>
        <v>Four slots for SFP transceivers</v>
      </c>
      <c r="D33" s="180" t="s">
        <v>27</v>
      </c>
      <c r="E33" s="122"/>
      <c r="F33" s="180" t="s">
        <v>40</v>
      </c>
      <c r="G33" s="122" t="str">
        <f>HLOOKUP(Language!$C$3,Language!$E$1:$Z492,15,FALSE)</f>
        <v>Four slots for SFP transceivers</v>
      </c>
      <c r="H33" s="180" t="s">
        <v>27</v>
      </c>
      <c r="I33" s="122"/>
      <c r="J33" s="180" t="s">
        <v>40</v>
      </c>
      <c r="K33" s="122" t="str">
        <f>HLOOKUP(Language!$C$3,Language!$E$1:$Z492,15,FALSE)</f>
        <v>Four slots for SFP transceivers</v>
      </c>
      <c r="L33" s="180" t="s">
        <v>27</v>
      </c>
      <c r="M33" s="122"/>
      <c r="N33" s="180" t="s">
        <v>40</v>
      </c>
      <c r="O33" s="122" t="str">
        <f>HLOOKUP(Language!$C$3,Language!$E$1:$Z492,15,FALSE)</f>
        <v>Four slots for SFP transceivers</v>
      </c>
      <c r="P33" s="180" t="s">
        <v>27</v>
      </c>
      <c r="Q33" s="122"/>
      <c r="R33" s="180" t="s">
        <v>40</v>
      </c>
      <c r="S33" s="122" t="str">
        <f>HLOOKUP(Language!$C$3,Language!$E$1:$Z492,15,FALSE)</f>
        <v>Four slots for SFP transceivers</v>
      </c>
      <c r="T33" s="180" t="s">
        <v>27</v>
      </c>
      <c r="U33" s="122"/>
      <c r="V33" s="180" t="s">
        <v>40</v>
      </c>
      <c r="W33" s="122" t="str">
        <f>HLOOKUP(Language!$C$3,Language!$E$1:$Z492,15,FALSE)</f>
        <v>Four slots for SFP transceivers</v>
      </c>
      <c r="X33" s="262" t="s">
        <v>27</v>
      </c>
      <c r="Y33" s="122"/>
      <c r="Z33" s="262" t="s">
        <v>40</v>
      </c>
      <c r="AA33" s="122" t="str">
        <f>HLOOKUP(Language!$C$3,Language!$E$1:$Z492,15,FALSE)</f>
        <v>Four slots for SFP transceivers</v>
      </c>
      <c r="AB33" s="262" t="s">
        <v>27</v>
      </c>
      <c r="AC33" s="122"/>
      <c r="AD33" s="262" t="s">
        <v>40</v>
      </c>
    </row>
    <row r="34" spans="1:30">
      <c r="A34" s="179"/>
      <c r="B34" s="17"/>
      <c r="C34" s="180" t="str">
        <f>HLOOKUP(Language!$C$3,Language!$E$1:$Z493,16,FALSE)</f>
        <v>Four 1 Gbps LC-type connector multi mode fiber 1000BASE-SX Ethernet for up to 0.5 km</v>
      </c>
      <c r="D34" s="180" t="s">
        <v>29</v>
      </c>
      <c r="E34" s="180"/>
      <c r="F34" s="180" t="s">
        <v>40</v>
      </c>
      <c r="G34" s="180" t="str">
        <f>HLOOKUP(Language!$C$3,Language!$E$1:$Z493,16,FALSE)</f>
        <v>Four 1 Gbps LC-type connector multi mode fiber 1000BASE-SX Ethernet for up to 0.5 km</v>
      </c>
      <c r="H34" s="180" t="s">
        <v>29</v>
      </c>
      <c r="I34" s="180"/>
      <c r="J34" s="180" t="s">
        <v>40</v>
      </c>
      <c r="K34" s="180" t="str">
        <f>HLOOKUP(Language!$C$3,Language!$E$1:$Z493,16,FALSE)</f>
        <v>Four 1 Gbps LC-type connector multi mode fiber 1000BASE-SX Ethernet for up to 0.5 km</v>
      </c>
      <c r="L34" s="180" t="s">
        <v>29</v>
      </c>
      <c r="M34" s="180"/>
      <c r="N34" s="180" t="s">
        <v>40</v>
      </c>
      <c r="O34" s="180" t="str">
        <f>HLOOKUP(Language!$C$3,Language!$E$1:$Z493,16,FALSE)</f>
        <v>Four 1 Gbps LC-type connector multi mode fiber 1000BASE-SX Ethernet for up to 0.5 km</v>
      </c>
      <c r="P34" s="180" t="s">
        <v>29</v>
      </c>
      <c r="Q34" s="180"/>
      <c r="R34" s="180" t="s">
        <v>40</v>
      </c>
      <c r="S34" s="180" t="str">
        <f>HLOOKUP(Language!$C$3,Language!$E$1:$Z493,16,FALSE)</f>
        <v>Four 1 Gbps LC-type connector multi mode fiber 1000BASE-SX Ethernet for up to 0.5 km</v>
      </c>
      <c r="T34" s="180" t="s">
        <v>29</v>
      </c>
      <c r="U34" s="180"/>
      <c r="V34" s="180" t="s">
        <v>40</v>
      </c>
      <c r="W34" s="262" t="str">
        <f>HLOOKUP(Language!$C$3,Language!$E$1:$Z493,16,FALSE)</f>
        <v>Four 1 Gbps LC-type connector multi mode fiber 1000BASE-SX Ethernet for up to 0.5 km</v>
      </c>
      <c r="X34" s="262" t="s">
        <v>29</v>
      </c>
      <c r="Y34" s="262"/>
      <c r="Z34" s="262" t="s">
        <v>40</v>
      </c>
      <c r="AA34" s="262" t="str">
        <f>HLOOKUP(Language!$C$3,Language!$E$1:$Z493,16,FALSE)</f>
        <v>Four 1 Gbps LC-type connector multi mode fiber 1000BASE-SX Ethernet for up to 0.5 km</v>
      </c>
      <c r="AB34" s="262" t="s">
        <v>29</v>
      </c>
      <c r="AC34" s="262"/>
      <c r="AD34" s="262" t="s">
        <v>40</v>
      </c>
    </row>
    <row r="35" spans="1:30">
      <c r="A35" s="179"/>
      <c r="B35" s="17"/>
      <c r="C35" s="180" t="str">
        <f>HLOOKUP(Language!$C$3,Language!$E$1:$Z494,17,FALSE)</f>
        <v>Four 1 Gbps LC-type connector single mode fiber 1000BASE-LX Ethernet for up to 10 km</v>
      </c>
      <c r="D35" s="180" t="s">
        <v>30</v>
      </c>
      <c r="E35" s="180"/>
      <c r="F35" s="180" t="s">
        <v>40</v>
      </c>
      <c r="G35" s="180" t="str">
        <f>HLOOKUP(Language!$C$3,Language!$E$1:$Z494,17,FALSE)</f>
        <v>Four 1 Gbps LC-type connector single mode fiber 1000BASE-LX Ethernet for up to 10 km</v>
      </c>
      <c r="H35" s="180" t="s">
        <v>30</v>
      </c>
      <c r="I35" s="180"/>
      <c r="J35" s="180" t="s">
        <v>40</v>
      </c>
      <c r="K35" s="180" t="str">
        <f>HLOOKUP(Language!$C$3,Language!$E$1:$Z494,17,FALSE)</f>
        <v>Four 1 Gbps LC-type connector single mode fiber 1000BASE-LX Ethernet for up to 10 km</v>
      </c>
      <c r="L35" s="180" t="s">
        <v>30</v>
      </c>
      <c r="M35" s="180"/>
      <c r="N35" s="180" t="s">
        <v>40</v>
      </c>
      <c r="O35" s="180" t="str">
        <f>HLOOKUP(Language!$C$3,Language!$E$1:$Z494,17,FALSE)</f>
        <v>Four 1 Gbps LC-type connector single mode fiber 1000BASE-LX Ethernet for up to 10 km</v>
      </c>
      <c r="P35" s="180" t="s">
        <v>30</v>
      </c>
      <c r="Q35" s="180"/>
      <c r="R35" s="180" t="s">
        <v>40</v>
      </c>
      <c r="S35" s="180" t="str">
        <f>HLOOKUP(Language!$C$3,Language!$E$1:$Z494,17,FALSE)</f>
        <v>Four 1 Gbps LC-type connector single mode fiber 1000BASE-LX Ethernet for up to 10 km</v>
      </c>
      <c r="T35" s="180" t="s">
        <v>30</v>
      </c>
      <c r="U35" s="180"/>
      <c r="V35" s="180" t="s">
        <v>40</v>
      </c>
      <c r="W35" s="262" t="str">
        <f>HLOOKUP(Language!$C$3,Language!$E$1:$Z494,17,FALSE)</f>
        <v>Four 1 Gbps LC-type connector single mode fiber 1000BASE-LX Ethernet for up to 10 km</v>
      </c>
      <c r="X35" s="262" t="s">
        <v>30</v>
      </c>
      <c r="Y35" s="262"/>
      <c r="Z35" s="262" t="s">
        <v>40</v>
      </c>
      <c r="AA35" s="262" t="str">
        <f>HLOOKUP(Language!$C$3,Language!$E$1:$Z494,17,FALSE)</f>
        <v>Four 1 Gbps LC-type connector single mode fiber 1000BASE-LX Ethernet for up to 10 km</v>
      </c>
      <c r="AB35" s="262" t="s">
        <v>30</v>
      </c>
      <c r="AC35" s="262"/>
      <c r="AD35" s="262" t="s">
        <v>40</v>
      </c>
    </row>
    <row r="36" spans="1:30">
      <c r="A36" s="179"/>
      <c r="B36" s="17"/>
      <c r="C36" s="180" t="str">
        <f>HLOOKUP(Language!$C$3,Language!$E$1:$Z495,18,FALSE)</f>
        <v>Four 1 Gbps LC-type connector single mode fiber 1000BASE-ZX Ethernet for up to 40 km</v>
      </c>
      <c r="D36" s="180" t="s">
        <v>41</v>
      </c>
      <c r="E36" s="180"/>
      <c r="F36" s="180" t="s">
        <v>40</v>
      </c>
      <c r="G36" s="180" t="str">
        <f>HLOOKUP(Language!$C$3,Language!$E$1:$Z495,18,FALSE)</f>
        <v>Four 1 Gbps LC-type connector single mode fiber 1000BASE-ZX Ethernet for up to 40 km</v>
      </c>
      <c r="H36" s="180" t="s">
        <v>41</v>
      </c>
      <c r="I36" s="180"/>
      <c r="J36" s="180" t="s">
        <v>40</v>
      </c>
      <c r="K36" s="180" t="str">
        <f>HLOOKUP(Language!$C$3,Language!$E$1:$Z495,18,FALSE)</f>
        <v>Four 1 Gbps LC-type connector single mode fiber 1000BASE-ZX Ethernet for up to 40 km</v>
      </c>
      <c r="L36" s="180" t="s">
        <v>41</v>
      </c>
      <c r="M36" s="180"/>
      <c r="N36" s="180" t="s">
        <v>40</v>
      </c>
      <c r="O36" s="180" t="str">
        <f>HLOOKUP(Language!$C$3,Language!$E$1:$Z495,18,FALSE)</f>
        <v>Four 1 Gbps LC-type connector single mode fiber 1000BASE-ZX Ethernet for up to 40 km</v>
      </c>
      <c r="P36" s="180" t="s">
        <v>41</v>
      </c>
      <c r="Q36" s="180"/>
      <c r="R36" s="180" t="s">
        <v>40</v>
      </c>
      <c r="S36" s="180" t="str">
        <f>HLOOKUP(Language!$C$3,Language!$E$1:$Z495,18,FALSE)</f>
        <v>Four 1 Gbps LC-type connector single mode fiber 1000BASE-ZX Ethernet for up to 40 km</v>
      </c>
      <c r="T36" s="180" t="s">
        <v>41</v>
      </c>
      <c r="U36" s="180"/>
      <c r="V36" s="180" t="s">
        <v>40</v>
      </c>
      <c r="W36" s="262" t="str">
        <f>HLOOKUP(Language!$C$3,Language!$E$1:$Z495,18,FALSE)</f>
        <v>Four 1 Gbps LC-type connector single mode fiber 1000BASE-ZX Ethernet for up to 40 km</v>
      </c>
      <c r="X36" s="262" t="s">
        <v>41</v>
      </c>
      <c r="Y36" s="262"/>
      <c r="Z36" s="262" t="s">
        <v>40</v>
      </c>
      <c r="AA36" s="262" t="str">
        <f>HLOOKUP(Language!$C$3,Language!$E$1:$Z495,18,FALSE)</f>
        <v>Four 1 Gbps LC-type connector single mode fiber 1000BASE-ZX Ethernet for up to 40 km</v>
      </c>
      <c r="AB36" s="262" t="s">
        <v>41</v>
      </c>
      <c r="AC36" s="262"/>
      <c r="AD36" s="262" t="s">
        <v>40</v>
      </c>
    </row>
    <row r="37" spans="1:30">
      <c r="A37" s="179"/>
      <c r="B37" s="17"/>
      <c r="C37" s="180" t="str">
        <f>HLOOKUP(Language!$C$3,Language!$E$1:$Z496,19,FALSE)</f>
        <v>Four 1 Gbps LC-type connector single mode fiber 1000BASE-ZX Ethernet for up to 80 km</v>
      </c>
      <c r="D37" s="180" t="s">
        <v>42</v>
      </c>
      <c r="E37" s="180"/>
      <c r="F37" s="180" t="s">
        <v>40</v>
      </c>
      <c r="G37" s="180" t="str">
        <f>HLOOKUP(Language!$C$3,Language!$E$1:$Z496,19,FALSE)</f>
        <v>Four 1 Gbps LC-type connector single mode fiber 1000BASE-ZX Ethernet for up to 80 km</v>
      </c>
      <c r="H37" s="180" t="s">
        <v>42</v>
      </c>
      <c r="I37" s="180"/>
      <c r="J37" s="180" t="s">
        <v>40</v>
      </c>
      <c r="K37" s="180" t="str">
        <f>HLOOKUP(Language!$C$3,Language!$E$1:$Z496,19,FALSE)</f>
        <v>Four 1 Gbps LC-type connector single mode fiber 1000BASE-ZX Ethernet for up to 80 km</v>
      </c>
      <c r="L37" s="180" t="s">
        <v>42</v>
      </c>
      <c r="M37" s="180"/>
      <c r="N37" s="180" t="s">
        <v>40</v>
      </c>
      <c r="O37" s="180" t="str">
        <f>HLOOKUP(Language!$C$3,Language!$E$1:$Z496,19,FALSE)</f>
        <v>Four 1 Gbps LC-type connector single mode fiber 1000BASE-ZX Ethernet for up to 80 km</v>
      </c>
      <c r="P37" s="180" t="s">
        <v>42</v>
      </c>
      <c r="Q37" s="180"/>
      <c r="R37" s="180" t="s">
        <v>40</v>
      </c>
      <c r="S37" s="180" t="str">
        <f>HLOOKUP(Language!$C$3,Language!$E$1:$Z496,19,FALSE)</f>
        <v>Four 1 Gbps LC-type connector single mode fiber 1000BASE-ZX Ethernet for up to 80 km</v>
      </c>
      <c r="T37" s="180" t="s">
        <v>42</v>
      </c>
      <c r="U37" s="180"/>
      <c r="V37" s="180" t="s">
        <v>40</v>
      </c>
      <c r="W37" s="262" t="str">
        <f>HLOOKUP(Language!$C$3,Language!$E$1:$Z496,19,FALSE)</f>
        <v>Four 1 Gbps LC-type connector single mode fiber 1000BASE-ZX Ethernet for up to 80 km</v>
      </c>
      <c r="X37" s="262" t="s">
        <v>42</v>
      </c>
      <c r="Y37" s="262"/>
      <c r="Z37" s="262" t="s">
        <v>40</v>
      </c>
      <c r="AA37" s="262" t="str">
        <f>HLOOKUP(Language!$C$3,Language!$E$1:$Z496,19,FALSE)</f>
        <v>Four 1 Gbps LC-type connector single mode fiber 1000BASE-ZX Ethernet for up to 80 km</v>
      </c>
      <c r="AB37" s="262" t="s">
        <v>42</v>
      </c>
      <c r="AC37" s="262"/>
      <c r="AD37" s="262" t="s">
        <v>40</v>
      </c>
    </row>
    <row r="38" spans="1:30">
      <c r="A38" s="179"/>
      <c r="B38" s="17"/>
      <c r="C38" s="180" t="str">
        <f>HLOOKUP(Language!$C$3,Language!$E$1:$Z497,20,FALSE)</f>
        <v>Four 100 Mbps LC-type connector multi mode fiber 100BASE-FX Ethernet for up to 2 km</v>
      </c>
      <c r="D38" s="180" t="s">
        <v>43</v>
      </c>
      <c r="E38" s="180"/>
      <c r="F38" s="180" t="s">
        <v>40</v>
      </c>
      <c r="G38" s="180" t="str">
        <f>HLOOKUP(Language!$C$3,Language!$E$1:$Z497,20,FALSE)</f>
        <v>Four 100 Mbps LC-type connector multi mode fiber 100BASE-FX Ethernet for up to 2 km</v>
      </c>
      <c r="H38" s="180" t="s">
        <v>43</v>
      </c>
      <c r="I38" s="180"/>
      <c r="J38" s="180" t="s">
        <v>40</v>
      </c>
      <c r="K38" s="180" t="str">
        <f>HLOOKUP(Language!$C$3,Language!$E$1:$Z497,20,FALSE)</f>
        <v>Four 100 Mbps LC-type connector multi mode fiber 100BASE-FX Ethernet for up to 2 km</v>
      </c>
      <c r="L38" s="180" t="s">
        <v>43</v>
      </c>
      <c r="M38" s="180"/>
      <c r="N38" s="180" t="s">
        <v>40</v>
      </c>
      <c r="O38" s="180" t="str">
        <f>HLOOKUP(Language!$C$3,Language!$E$1:$Z497,20,FALSE)</f>
        <v>Four 100 Mbps LC-type connector multi mode fiber 100BASE-FX Ethernet for up to 2 km</v>
      </c>
      <c r="P38" s="180" t="s">
        <v>43</v>
      </c>
      <c r="Q38" s="180"/>
      <c r="R38" s="180" t="s">
        <v>40</v>
      </c>
      <c r="S38" s="180" t="str">
        <f>HLOOKUP(Language!$C$3,Language!$E$1:$Z497,20,FALSE)</f>
        <v>Four 100 Mbps LC-type connector multi mode fiber 100BASE-FX Ethernet for up to 2 km</v>
      </c>
      <c r="T38" s="180" t="s">
        <v>43</v>
      </c>
      <c r="U38" s="180"/>
      <c r="V38" s="180" t="s">
        <v>40</v>
      </c>
      <c r="W38" s="262" t="str">
        <f>HLOOKUP(Language!$C$3,Language!$E$1:$Z497,20,FALSE)</f>
        <v>Four 100 Mbps LC-type connector multi mode fiber 100BASE-FX Ethernet for up to 2 km</v>
      </c>
      <c r="X38" s="262" t="s">
        <v>43</v>
      </c>
      <c r="Y38" s="262"/>
      <c r="Z38" s="262" t="s">
        <v>40</v>
      </c>
      <c r="AA38" s="262" t="str">
        <f>HLOOKUP(Language!$C$3,Language!$E$1:$Z497,20,FALSE)</f>
        <v>Four 100 Mbps LC-type connector multi mode fiber 100BASE-FX Ethernet for up to 2 km</v>
      </c>
      <c r="AB38" s="262" t="s">
        <v>43</v>
      </c>
      <c r="AC38" s="262"/>
      <c r="AD38" s="262" t="s">
        <v>40</v>
      </c>
    </row>
    <row r="39" spans="1:30">
      <c r="A39" s="179"/>
      <c r="B39" s="17"/>
      <c r="C39" s="180" t="str">
        <f>HLOOKUP(Language!$C$3,Language!$E$1:$Z515,21,FALSE)</f>
        <v>Four RJ45 copper 10/100BASE-TX</v>
      </c>
      <c r="D39" s="180" t="s">
        <v>120</v>
      </c>
      <c r="E39" s="180"/>
      <c r="F39" s="180" t="s">
        <v>40</v>
      </c>
      <c r="G39" s="180" t="str">
        <f>HLOOKUP(Language!$C$3,Language!$E$1:$Z478,22,FALSE)</f>
        <v>Not installed</v>
      </c>
      <c r="H39" s="180" t="s">
        <v>28</v>
      </c>
      <c r="I39" s="180"/>
      <c r="J39" s="180" t="s">
        <v>40</v>
      </c>
      <c r="K39" s="180" t="str">
        <f>HLOOKUP(Language!$C$3,Language!$E$1:$Z515,21,FALSE)</f>
        <v>Four RJ45 copper 10/100BASE-TX</v>
      </c>
      <c r="L39" s="180" t="s">
        <v>120</v>
      </c>
      <c r="M39" s="180"/>
      <c r="N39" s="180" t="s">
        <v>40</v>
      </c>
      <c r="O39" s="180" t="str">
        <f>HLOOKUP(Language!$C$3,Language!$E$1:$Z515,21,FALSE)</f>
        <v>Four RJ45 copper 10/100BASE-TX</v>
      </c>
      <c r="P39" s="180" t="s">
        <v>120</v>
      </c>
      <c r="Q39" s="180"/>
      <c r="R39" s="180" t="s">
        <v>40</v>
      </c>
      <c r="S39" s="180" t="str">
        <f>HLOOKUP(Language!$C$3,Language!$E$1:$Z515,21,FALSE)</f>
        <v>Four RJ45 copper 10/100BASE-TX</v>
      </c>
      <c r="T39" s="180" t="s">
        <v>120</v>
      </c>
      <c r="U39" s="180"/>
      <c r="V39" s="180" t="s">
        <v>40</v>
      </c>
      <c r="W39" s="262" t="str">
        <f>HLOOKUP(Language!$C$3,Language!$E$1:$Z515,21,FALSE)</f>
        <v>Four RJ45 copper 10/100BASE-TX</v>
      </c>
      <c r="X39" s="262" t="s">
        <v>120</v>
      </c>
      <c r="Y39" s="262"/>
      <c r="Z39" s="262" t="s">
        <v>40</v>
      </c>
      <c r="AA39" s="262" t="str">
        <f>HLOOKUP(Language!$C$3,Language!$E$1:$Z515,21,FALSE)</f>
        <v>Four RJ45 copper 10/100BASE-TX</v>
      </c>
      <c r="AB39" s="262" t="s">
        <v>120</v>
      </c>
      <c r="AC39" s="262"/>
      <c r="AD39" s="262" t="s">
        <v>40</v>
      </c>
    </row>
    <row r="40" spans="1:30">
      <c r="A40" s="179"/>
      <c r="B40" s="17"/>
      <c r="C40" s="192" t="str">
        <f>HLOOKUP(Language!$C$3,Language!$E$1:$Z509,49,FALSE)</f>
        <v>Four 1 Gbps RJ45 SFP Transceivers 10/100BASE-TX/1000BASE-T Ethernet ports (Not CE marked)</v>
      </c>
      <c r="D40" s="180" t="s">
        <v>114</v>
      </c>
      <c r="E40" s="180"/>
      <c r="F40" s="180" t="s">
        <v>40</v>
      </c>
      <c r="G40" s="192"/>
      <c r="H40" s="180"/>
      <c r="I40" s="180"/>
      <c r="J40" s="180"/>
      <c r="K40" s="192" t="str">
        <f>HLOOKUP(Language!$C$3,Language!$E$1:$Z509,49,FALSE)</f>
        <v>Four 1 Gbps RJ45 SFP Transceivers 10/100BASE-TX/1000BASE-T Ethernet ports (Not CE marked)</v>
      </c>
      <c r="L40" s="180" t="s">
        <v>114</v>
      </c>
      <c r="M40" s="180"/>
      <c r="N40" s="180" t="s">
        <v>40</v>
      </c>
      <c r="O40" s="192" t="str">
        <f>HLOOKUP(Language!$C$3,Language!$E$1:$Z509,49,FALSE)</f>
        <v>Four 1 Gbps RJ45 SFP Transceivers 10/100BASE-TX/1000BASE-T Ethernet ports (Not CE marked)</v>
      </c>
      <c r="P40" s="180" t="s">
        <v>114</v>
      </c>
      <c r="Q40" s="180"/>
      <c r="R40" s="180" t="s">
        <v>40</v>
      </c>
      <c r="S40" s="192" t="str">
        <f>HLOOKUP(Language!$C$3,Language!$E$1:$Z509,49,FALSE)</f>
        <v>Four 1 Gbps RJ45 SFP Transceivers 10/100BASE-TX/1000BASE-T Ethernet ports (Not CE marked)</v>
      </c>
      <c r="T40" s="180" t="s">
        <v>114</v>
      </c>
      <c r="U40" s="180"/>
      <c r="V40" s="180" t="s">
        <v>40</v>
      </c>
      <c r="W40" s="192" t="str">
        <f>HLOOKUP(Language!$C$3,Language!$E$1:$Z509,49,FALSE)</f>
        <v>Four 1 Gbps RJ45 SFP Transceivers 10/100BASE-TX/1000BASE-T Ethernet ports (Not CE marked)</v>
      </c>
      <c r="X40" s="262" t="s">
        <v>114</v>
      </c>
      <c r="Y40" s="262"/>
      <c r="Z40" s="262" t="s">
        <v>40</v>
      </c>
      <c r="AA40" s="262" t="str">
        <f>HLOOKUP(Language!$C$3,Language!$E$1:$Z477,22,FALSE)</f>
        <v>Not installed</v>
      </c>
      <c r="AB40" s="262" t="s">
        <v>28</v>
      </c>
      <c r="AC40" s="262"/>
      <c r="AD40" s="262" t="s">
        <v>40</v>
      </c>
    </row>
    <row r="41" spans="1:30" ht="24">
      <c r="A41" s="179"/>
      <c r="B41" s="17"/>
      <c r="C41" s="180" t="str">
        <f>HLOOKUP(Language!$C$3,Language!$E$1:$Z478,22,FALSE)</f>
        <v>Not installed</v>
      </c>
      <c r="D41" s="180" t="s">
        <v>28</v>
      </c>
      <c r="E41" s="180"/>
      <c r="F41" s="180" t="s">
        <v>40</v>
      </c>
      <c r="G41" s="15"/>
      <c r="H41" s="15"/>
      <c r="I41" s="180"/>
      <c r="J41" s="180"/>
      <c r="K41" s="180" t="str">
        <f>HLOOKUP(Language!$C$3,Language!$E$1:$Z478,22,FALSE)</f>
        <v>Not installed</v>
      </c>
      <c r="L41" s="180" t="s">
        <v>28</v>
      </c>
      <c r="M41" s="180"/>
      <c r="N41" s="180" t="s">
        <v>40</v>
      </c>
      <c r="O41" s="180" t="str">
        <f>HLOOKUP(Language!$C$3,Language!$E$1:$Z478,22,FALSE)</f>
        <v>Not installed</v>
      </c>
      <c r="P41" s="180" t="s">
        <v>28</v>
      </c>
      <c r="Q41" s="180"/>
      <c r="R41" s="180" t="s">
        <v>40</v>
      </c>
      <c r="S41" s="180" t="str">
        <f>HLOOKUP(Language!$C$3,Language!$E$1:$Z478,22,FALSE)</f>
        <v>Not installed</v>
      </c>
      <c r="T41" s="180" t="s">
        <v>28</v>
      </c>
      <c r="U41" s="180"/>
      <c r="V41" s="180" t="s">
        <v>40</v>
      </c>
      <c r="W41" s="262" t="str">
        <f>HLOOKUP(Language!$C$3,Language!$E$1:$Z478,22,FALSE)</f>
        <v>Not installed</v>
      </c>
      <c r="X41" s="262" t="s">
        <v>28</v>
      </c>
      <c r="Y41" s="262"/>
      <c r="Z41" s="262" t="s">
        <v>40</v>
      </c>
      <c r="AA41" s="192" t="str">
        <f>HLOOKUP(Language!$C$3,Language!$E$1:$Z516,70,FALSE)</f>
        <v>Four 1 Gbps RJ45 SFP Transceivers 10/100BASE-TX/1000BASE-T Ethernet ports (Not CE marked) (Withdraw)</v>
      </c>
      <c r="AB41" s="262" t="s">
        <v>114</v>
      </c>
      <c r="AC41" s="262"/>
      <c r="AD41" s="262" t="s">
        <v>40</v>
      </c>
    </row>
    <row r="42" spans="1:30">
      <c r="A42" s="181"/>
      <c r="B42" s="23"/>
      <c r="C42" s="182"/>
      <c r="D42" s="182"/>
      <c r="E42" s="182"/>
      <c r="F42" s="182"/>
      <c r="G42" s="182"/>
      <c r="H42" s="182"/>
      <c r="I42" s="182"/>
      <c r="J42" s="182"/>
      <c r="K42" s="182"/>
      <c r="L42" s="182"/>
      <c r="M42" s="182"/>
      <c r="N42" s="182"/>
      <c r="O42" s="182"/>
      <c r="P42" s="182"/>
      <c r="Q42" s="182"/>
      <c r="R42" s="182"/>
      <c r="S42" s="182"/>
      <c r="T42" s="182"/>
      <c r="U42" s="182"/>
      <c r="V42" s="182"/>
      <c r="W42" s="263"/>
      <c r="X42" s="263"/>
      <c r="Y42" s="263"/>
      <c r="Z42" s="263"/>
      <c r="AA42" s="263"/>
      <c r="AB42" s="263"/>
      <c r="AC42" s="263"/>
      <c r="AD42" s="263"/>
    </row>
    <row r="43" spans="1:30">
      <c r="A43" s="177">
        <v>6</v>
      </c>
      <c r="B43" s="16" t="str">
        <f>HLOOKUP(Language!$C$3,Language!$E$1:$Z500,11,FALSE)</f>
        <v>Interface Module 3</v>
      </c>
      <c r="C43" s="178" t="str">
        <f>HLOOKUP(Language!$C$3,Language!$E$1:$Z502,14,FALSE)</f>
        <v>Four 1 Gbps RJ45 copper 10/100BASE-TX/1000BASE-T Ethernet ports</v>
      </c>
      <c r="D43" s="178" t="s">
        <v>26</v>
      </c>
      <c r="E43" s="178"/>
      <c r="F43" s="178" t="s">
        <v>40</v>
      </c>
      <c r="G43" s="178" t="str">
        <f>HLOOKUP(Language!$C$3,Language!$E$1:$Z502,14,FALSE)</f>
        <v>Four 1 Gbps RJ45 copper 10/100BASE-TX/1000BASE-T Ethernet ports</v>
      </c>
      <c r="H43" s="178" t="s">
        <v>26</v>
      </c>
      <c r="I43" s="178"/>
      <c r="J43" s="178" t="s">
        <v>40</v>
      </c>
      <c r="K43" s="178" t="str">
        <f>HLOOKUP(Language!$C$3,Language!$E$1:$Z502,14,FALSE)</f>
        <v>Four 1 Gbps RJ45 copper 10/100BASE-TX/1000BASE-T Ethernet ports</v>
      </c>
      <c r="L43" s="178" t="s">
        <v>26</v>
      </c>
      <c r="M43" s="178"/>
      <c r="N43" s="178" t="s">
        <v>40</v>
      </c>
      <c r="O43" s="178" t="str">
        <f>HLOOKUP(Language!$C$3,Language!$E$1:$Z502,14,FALSE)</f>
        <v>Four 1 Gbps RJ45 copper 10/100BASE-TX/1000BASE-T Ethernet ports</v>
      </c>
      <c r="P43" s="178" t="s">
        <v>26</v>
      </c>
      <c r="Q43" s="178"/>
      <c r="R43" s="178" t="s">
        <v>40</v>
      </c>
      <c r="S43" s="178" t="str">
        <f>HLOOKUP(Language!$C$3,Language!$E$1:$Z502,14,FALSE)</f>
        <v>Four 1 Gbps RJ45 copper 10/100BASE-TX/1000BASE-T Ethernet ports</v>
      </c>
      <c r="T43" s="178" t="s">
        <v>26</v>
      </c>
      <c r="U43" s="178"/>
      <c r="V43" s="178" t="s">
        <v>40</v>
      </c>
      <c r="W43" s="261" t="str">
        <f>HLOOKUP(Language!$C$3,Language!$E$1:$Z502,14,FALSE)</f>
        <v>Four 1 Gbps RJ45 copper 10/100BASE-TX/1000BASE-T Ethernet ports</v>
      </c>
      <c r="X43" s="261" t="s">
        <v>26</v>
      </c>
      <c r="Y43" s="261"/>
      <c r="Z43" s="261" t="s">
        <v>40</v>
      </c>
      <c r="AA43" s="261" t="str">
        <f>HLOOKUP(Language!$C$3,Language!$E$1:$Z502,14,FALSE)</f>
        <v>Four 1 Gbps RJ45 copper 10/100BASE-TX/1000BASE-T Ethernet ports</v>
      </c>
      <c r="AB43" s="261" t="s">
        <v>26</v>
      </c>
      <c r="AC43" s="261"/>
      <c r="AD43" s="261" t="s">
        <v>40</v>
      </c>
    </row>
    <row r="44" spans="1:30">
      <c r="A44" s="179"/>
      <c r="B44" s="17"/>
      <c r="C44" s="122" t="str">
        <f>HLOOKUP(Language!$C$3,Language!$E$1:$Z502,15,FALSE)</f>
        <v>Four slots for SFP transceivers</v>
      </c>
      <c r="D44" s="180" t="s">
        <v>27</v>
      </c>
      <c r="E44" s="122"/>
      <c r="F44" s="180" t="s">
        <v>40</v>
      </c>
      <c r="G44" s="122" t="str">
        <f>HLOOKUP(Language!$C$3,Language!$E$1:$Z502,15,FALSE)</f>
        <v>Four slots for SFP transceivers</v>
      </c>
      <c r="H44" s="180" t="s">
        <v>27</v>
      </c>
      <c r="I44" s="122"/>
      <c r="J44" s="180" t="s">
        <v>40</v>
      </c>
      <c r="K44" s="122" t="str">
        <f>HLOOKUP(Language!$C$3,Language!$E$1:$Z502,15,FALSE)</f>
        <v>Four slots for SFP transceivers</v>
      </c>
      <c r="L44" s="180" t="s">
        <v>27</v>
      </c>
      <c r="M44" s="122"/>
      <c r="N44" s="180" t="s">
        <v>40</v>
      </c>
      <c r="O44" s="122" t="str">
        <f>HLOOKUP(Language!$C$3,Language!$E$1:$Z502,15,FALSE)</f>
        <v>Four slots for SFP transceivers</v>
      </c>
      <c r="P44" s="180" t="s">
        <v>27</v>
      </c>
      <c r="Q44" s="122"/>
      <c r="R44" s="180" t="s">
        <v>40</v>
      </c>
      <c r="S44" s="122" t="str">
        <f>HLOOKUP(Language!$C$3,Language!$E$1:$Z502,15,FALSE)</f>
        <v>Four slots for SFP transceivers</v>
      </c>
      <c r="T44" s="180" t="s">
        <v>27</v>
      </c>
      <c r="U44" s="122"/>
      <c r="V44" s="180" t="s">
        <v>40</v>
      </c>
      <c r="W44" s="122" t="str">
        <f>HLOOKUP(Language!$C$3,Language!$E$1:$Z502,15,FALSE)</f>
        <v>Four slots for SFP transceivers</v>
      </c>
      <c r="X44" s="262" t="s">
        <v>27</v>
      </c>
      <c r="Y44" s="122"/>
      <c r="Z44" s="262" t="s">
        <v>40</v>
      </c>
      <c r="AA44" s="122" t="str">
        <f>HLOOKUP(Language!$C$3,Language!$E$1:$Z502,15,FALSE)</f>
        <v>Four slots for SFP transceivers</v>
      </c>
      <c r="AB44" s="262" t="s">
        <v>27</v>
      </c>
      <c r="AC44" s="122"/>
      <c r="AD44" s="262" t="s">
        <v>40</v>
      </c>
    </row>
    <row r="45" spans="1:30">
      <c r="A45" s="179"/>
      <c r="B45" s="17"/>
      <c r="C45" s="180" t="str">
        <f>HLOOKUP(Language!$C$3,Language!$E$1:$Z503,16,FALSE)</f>
        <v>Four 1 Gbps LC-type connector multi mode fiber 1000BASE-SX Ethernet for up to 0.5 km</v>
      </c>
      <c r="D45" s="180" t="s">
        <v>29</v>
      </c>
      <c r="E45" s="180"/>
      <c r="F45" s="180" t="s">
        <v>40</v>
      </c>
      <c r="G45" s="180" t="str">
        <f>HLOOKUP(Language!$C$3,Language!$E$1:$Z503,16,FALSE)</f>
        <v>Four 1 Gbps LC-type connector multi mode fiber 1000BASE-SX Ethernet for up to 0.5 km</v>
      </c>
      <c r="H45" s="180" t="s">
        <v>29</v>
      </c>
      <c r="I45" s="180"/>
      <c r="J45" s="180" t="s">
        <v>40</v>
      </c>
      <c r="K45" s="180" t="str">
        <f>HLOOKUP(Language!$C$3,Language!$E$1:$Z503,16,FALSE)</f>
        <v>Four 1 Gbps LC-type connector multi mode fiber 1000BASE-SX Ethernet for up to 0.5 km</v>
      </c>
      <c r="L45" s="180" t="s">
        <v>29</v>
      </c>
      <c r="M45" s="180"/>
      <c r="N45" s="180" t="s">
        <v>40</v>
      </c>
      <c r="O45" s="180" t="str">
        <f>HLOOKUP(Language!$C$3,Language!$E$1:$Z503,16,FALSE)</f>
        <v>Four 1 Gbps LC-type connector multi mode fiber 1000BASE-SX Ethernet for up to 0.5 km</v>
      </c>
      <c r="P45" s="180" t="s">
        <v>29</v>
      </c>
      <c r="Q45" s="180"/>
      <c r="R45" s="180" t="s">
        <v>40</v>
      </c>
      <c r="S45" s="180" t="str">
        <f>HLOOKUP(Language!$C$3,Language!$E$1:$Z503,16,FALSE)</f>
        <v>Four 1 Gbps LC-type connector multi mode fiber 1000BASE-SX Ethernet for up to 0.5 km</v>
      </c>
      <c r="T45" s="180" t="s">
        <v>29</v>
      </c>
      <c r="U45" s="180"/>
      <c r="V45" s="180" t="s">
        <v>40</v>
      </c>
      <c r="W45" s="262" t="str">
        <f>HLOOKUP(Language!$C$3,Language!$E$1:$Z503,16,FALSE)</f>
        <v>Four 1 Gbps LC-type connector multi mode fiber 1000BASE-SX Ethernet for up to 0.5 km</v>
      </c>
      <c r="X45" s="262" t="s">
        <v>29</v>
      </c>
      <c r="Y45" s="262"/>
      <c r="Z45" s="262" t="s">
        <v>40</v>
      </c>
      <c r="AA45" s="262" t="str">
        <f>HLOOKUP(Language!$C$3,Language!$E$1:$Z503,16,FALSE)</f>
        <v>Four 1 Gbps LC-type connector multi mode fiber 1000BASE-SX Ethernet for up to 0.5 km</v>
      </c>
      <c r="AB45" s="262" t="s">
        <v>29</v>
      </c>
      <c r="AC45" s="262"/>
      <c r="AD45" s="262" t="s">
        <v>40</v>
      </c>
    </row>
    <row r="46" spans="1:30">
      <c r="A46" s="179"/>
      <c r="B46" s="17"/>
      <c r="C46" s="180" t="str">
        <f>HLOOKUP(Language!$C$3,Language!$E$1:$Z504,17,FALSE)</f>
        <v>Four 1 Gbps LC-type connector single mode fiber 1000BASE-LX Ethernet for up to 10 km</v>
      </c>
      <c r="D46" s="180" t="s">
        <v>30</v>
      </c>
      <c r="E46" s="180"/>
      <c r="F46" s="180" t="s">
        <v>40</v>
      </c>
      <c r="G46" s="180" t="str">
        <f>HLOOKUP(Language!$C$3,Language!$E$1:$Z504,17,FALSE)</f>
        <v>Four 1 Gbps LC-type connector single mode fiber 1000BASE-LX Ethernet for up to 10 km</v>
      </c>
      <c r="H46" s="180" t="s">
        <v>30</v>
      </c>
      <c r="I46" s="180"/>
      <c r="J46" s="180" t="s">
        <v>40</v>
      </c>
      <c r="K46" s="180" t="str">
        <f>HLOOKUP(Language!$C$3,Language!$E$1:$Z504,17,FALSE)</f>
        <v>Four 1 Gbps LC-type connector single mode fiber 1000BASE-LX Ethernet for up to 10 km</v>
      </c>
      <c r="L46" s="180" t="s">
        <v>30</v>
      </c>
      <c r="M46" s="180"/>
      <c r="N46" s="180" t="s">
        <v>40</v>
      </c>
      <c r="O46" s="180" t="str">
        <f>HLOOKUP(Language!$C$3,Language!$E$1:$Z504,17,FALSE)</f>
        <v>Four 1 Gbps LC-type connector single mode fiber 1000BASE-LX Ethernet for up to 10 km</v>
      </c>
      <c r="P46" s="180" t="s">
        <v>30</v>
      </c>
      <c r="Q46" s="180"/>
      <c r="R46" s="180" t="s">
        <v>40</v>
      </c>
      <c r="S46" s="180" t="str">
        <f>HLOOKUP(Language!$C$3,Language!$E$1:$Z504,17,FALSE)</f>
        <v>Four 1 Gbps LC-type connector single mode fiber 1000BASE-LX Ethernet for up to 10 km</v>
      </c>
      <c r="T46" s="180" t="s">
        <v>30</v>
      </c>
      <c r="U46" s="180"/>
      <c r="V46" s="180" t="s">
        <v>40</v>
      </c>
      <c r="W46" s="262" t="str">
        <f>HLOOKUP(Language!$C$3,Language!$E$1:$Z504,17,FALSE)</f>
        <v>Four 1 Gbps LC-type connector single mode fiber 1000BASE-LX Ethernet for up to 10 km</v>
      </c>
      <c r="X46" s="262" t="s">
        <v>30</v>
      </c>
      <c r="Y46" s="262"/>
      <c r="Z46" s="262" t="s">
        <v>40</v>
      </c>
      <c r="AA46" s="262" t="str">
        <f>HLOOKUP(Language!$C$3,Language!$E$1:$Z504,17,FALSE)</f>
        <v>Four 1 Gbps LC-type connector single mode fiber 1000BASE-LX Ethernet for up to 10 km</v>
      </c>
      <c r="AB46" s="262" t="s">
        <v>30</v>
      </c>
      <c r="AC46" s="262"/>
      <c r="AD46" s="262" t="s">
        <v>40</v>
      </c>
    </row>
    <row r="47" spans="1:30">
      <c r="A47" s="179"/>
      <c r="B47" s="17"/>
      <c r="C47" s="180" t="str">
        <f>HLOOKUP(Language!$C$3,Language!$E$1:$Z505,18,FALSE)</f>
        <v>Four 1 Gbps LC-type connector single mode fiber 1000BASE-ZX Ethernet for up to 40 km</v>
      </c>
      <c r="D47" s="180" t="s">
        <v>41</v>
      </c>
      <c r="E47" s="180"/>
      <c r="F47" s="180" t="s">
        <v>40</v>
      </c>
      <c r="G47" s="180" t="str">
        <f>HLOOKUP(Language!$C$3,Language!$E$1:$Z505,18,FALSE)</f>
        <v>Four 1 Gbps LC-type connector single mode fiber 1000BASE-ZX Ethernet for up to 40 km</v>
      </c>
      <c r="H47" s="180" t="s">
        <v>41</v>
      </c>
      <c r="I47" s="180"/>
      <c r="J47" s="180" t="s">
        <v>40</v>
      </c>
      <c r="K47" s="180" t="str">
        <f>HLOOKUP(Language!$C$3,Language!$E$1:$Z505,18,FALSE)</f>
        <v>Four 1 Gbps LC-type connector single mode fiber 1000BASE-ZX Ethernet for up to 40 km</v>
      </c>
      <c r="L47" s="180" t="s">
        <v>41</v>
      </c>
      <c r="M47" s="180"/>
      <c r="N47" s="180" t="s">
        <v>40</v>
      </c>
      <c r="O47" s="180" t="str">
        <f>HLOOKUP(Language!$C$3,Language!$E$1:$Z505,18,FALSE)</f>
        <v>Four 1 Gbps LC-type connector single mode fiber 1000BASE-ZX Ethernet for up to 40 km</v>
      </c>
      <c r="P47" s="180" t="s">
        <v>41</v>
      </c>
      <c r="Q47" s="180"/>
      <c r="R47" s="180" t="s">
        <v>40</v>
      </c>
      <c r="S47" s="180" t="str">
        <f>HLOOKUP(Language!$C$3,Language!$E$1:$Z505,18,FALSE)</f>
        <v>Four 1 Gbps LC-type connector single mode fiber 1000BASE-ZX Ethernet for up to 40 km</v>
      </c>
      <c r="T47" s="180" t="s">
        <v>41</v>
      </c>
      <c r="U47" s="180"/>
      <c r="V47" s="180" t="s">
        <v>40</v>
      </c>
      <c r="W47" s="262" t="str">
        <f>HLOOKUP(Language!$C$3,Language!$E$1:$Z505,18,FALSE)</f>
        <v>Four 1 Gbps LC-type connector single mode fiber 1000BASE-ZX Ethernet for up to 40 km</v>
      </c>
      <c r="X47" s="262" t="s">
        <v>41</v>
      </c>
      <c r="Y47" s="262"/>
      <c r="Z47" s="262" t="s">
        <v>40</v>
      </c>
      <c r="AA47" s="262" t="str">
        <f>HLOOKUP(Language!$C$3,Language!$E$1:$Z505,18,FALSE)</f>
        <v>Four 1 Gbps LC-type connector single mode fiber 1000BASE-ZX Ethernet for up to 40 km</v>
      </c>
      <c r="AB47" s="262" t="s">
        <v>41</v>
      </c>
      <c r="AC47" s="262"/>
      <c r="AD47" s="262" t="s">
        <v>40</v>
      </c>
    </row>
    <row r="48" spans="1:30">
      <c r="A48" s="179"/>
      <c r="B48" s="17"/>
      <c r="C48" s="180" t="str">
        <f>HLOOKUP(Language!$C$3,Language!$E$1:$Z506,19,FALSE)</f>
        <v>Four 1 Gbps LC-type connector single mode fiber 1000BASE-ZX Ethernet for up to 80 km</v>
      </c>
      <c r="D48" s="180" t="s">
        <v>42</v>
      </c>
      <c r="E48" s="180"/>
      <c r="F48" s="180" t="s">
        <v>40</v>
      </c>
      <c r="G48" s="180" t="str">
        <f>HLOOKUP(Language!$C$3,Language!$E$1:$Z506,19,FALSE)</f>
        <v>Four 1 Gbps LC-type connector single mode fiber 1000BASE-ZX Ethernet for up to 80 km</v>
      </c>
      <c r="H48" s="180" t="s">
        <v>42</v>
      </c>
      <c r="I48" s="180"/>
      <c r="J48" s="180" t="s">
        <v>40</v>
      </c>
      <c r="K48" s="180" t="str">
        <f>HLOOKUP(Language!$C$3,Language!$E$1:$Z506,19,FALSE)</f>
        <v>Four 1 Gbps LC-type connector single mode fiber 1000BASE-ZX Ethernet for up to 80 km</v>
      </c>
      <c r="L48" s="180" t="s">
        <v>42</v>
      </c>
      <c r="M48" s="180"/>
      <c r="N48" s="180" t="s">
        <v>40</v>
      </c>
      <c r="O48" s="180" t="str">
        <f>HLOOKUP(Language!$C$3,Language!$E$1:$Z506,19,FALSE)</f>
        <v>Four 1 Gbps LC-type connector single mode fiber 1000BASE-ZX Ethernet for up to 80 km</v>
      </c>
      <c r="P48" s="180" t="s">
        <v>42</v>
      </c>
      <c r="Q48" s="180"/>
      <c r="R48" s="180" t="s">
        <v>40</v>
      </c>
      <c r="S48" s="180" t="str">
        <f>HLOOKUP(Language!$C$3,Language!$E$1:$Z506,19,FALSE)</f>
        <v>Four 1 Gbps LC-type connector single mode fiber 1000BASE-ZX Ethernet for up to 80 km</v>
      </c>
      <c r="T48" s="180" t="s">
        <v>42</v>
      </c>
      <c r="U48" s="180"/>
      <c r="V48" s="180" t="s">
        <v>40</v>
      </c>
      <c r="W48" s="262" t="str">
        <f>HLOOKUP(Language!$C$3,Language!$E$1:$Z506,19,FALSE)</f>
        <v>Four 1 Gbps LC-type connector single mode fiber 1000BASE-ZX Ethernet for up to 80 km</v>
      </c>
      <c r="X48" s="262" t="s">
        <v>42</v>
      </c>
      <c r="Y48" s="262"/>
      <c r="Z48" s="262" t="s">
        <v>40</v>
      </c>
      <c r="AA48" s="262" t="str">
        <f>HLOOKUP(Language!$C$3,Language!$E$1:$Z506,19,FALSE)</f>
        <v>Four 1 Gbps LC-type connector single mode fiber 1000BASE-ZX Ethernet for up to 80 km</v>
      </c>
      <c r="AB48" s="262" t="s">
        <v>42</v>
      </c>
      <c r="AC48" s="262"/>
      <c r="AD48" s="262" t="s">
        <v>40</v>
      </c>
    </row>
    <row r="49" spans="1:30">
      <c r="A49" s="179"/>
      <c r="B49" s="17"/>
      <c r="C49" s="180" t="str">
        <f>HLOOKUP(Language!$C$3,Language!$E$1:$Z507,20,FALSE)</f>
        <v>Four 100 Mbps LC-type connector multi mode fiber 100BASE-FX Ethernet for up to 2 km</v>
      </c>
      <c r="D49" s="180" t="s">
        <v>43</v>
      </c>
      <c r="E49" s="180"/>
      <c r="F49" s="180" t="s">
        <v>40</v>
      </c>
      <c r="G49" s="180" t="str">
        <f>HLOOKUP(Language!$C$3,Language!$E$1:$Z507,20,FALSE)</f>
        <v>Four 100 Mbps LC-type connector multi mode fiber 100BASE-FX Ethernet for up to 2 km</v>
      </c>
      <c r="H49" s="180" t="s">
        <v>43</v>
      </c>
      <c r="I49" s="180"/>
      <c r="J49" s="180" t="s">
        <v>40</v>
      </c>
      <c r="K49" s="180" t="str">
        <f>HLOOKUP(Language!$C$3,Language!$E$1:$Z507,20,FALSE)</f>
        <v>Four 100 Mbps LC-type connector multi mode fiber 100BASE-FX Ethernet for up to 2 km</v>
      </c>
      <c r="L49" s="180" t="s">
        <v>43</v>
      </c>
      <c r="M49" s="180"/>
      <c r="N49" s="180" t="s">
        <v>40</v>
      </c>
      <c r="O49" s="180" t="str">
        <f>HLOOKUP(Language!$C$3,Language!$E$1:$Z507,20,FALSE)</f>
        <v>Four 100 Mbps LC-type connector multi mode fiber 100BASE-FX Ethernet for up to 2 km</v>
      </c>
      <c r="P49" s="180" t="s">
        <v>43</v>
      </c>
      <c r="Q49" s="180"/>
      <c r="R49" s="180" t="s">
        <v>40</v>
      </c>
      <c r="S49" s="180" t="str">
        <f>HLOOKUP(Language!$C$3,Language!$E$1:$Z507,20,FALSE)</f>
        <v>Four 100 Mbps LC-type connector multi mode fiber 100BASE-FX Ethernet for up to 2 km</v>
      </c>
      <c r="T49" s="180" t="s">
        <v>43</v>
      </c>
      <c r="U49" s="180"/>
      <c r="V49" s="180" t="s">
        <v>40</v>
      </c>
      <c r="W49" s="262" t="str">
        <f>HLOOKUP(Language!$C$3,Language!$E$1:$Z507,20,FALSE)</f>
        <v>Four 100 Mbps LC-type connector multi mode fiber 100BASE-FX Ethernet for up to 2 km</v>
      </c>
      <c r="X49" s="262" t="s">
        <v>43</v>
      </c>
      <c r="Y49" s="262"/>
      <c r="Z49" s="262" t="s">
        <v>40</v>
      </c>
      <c r="AA49" s="262" t="str">
        <f>HLOOKUP(Language!$C$3,Language!$E$1:$Z507,20,FALSE)</f>
        <v>Four 100 Mbps LC-type connector multi mode fiber 100BASE-FX Ethernet for up to 2 km</v>
      </c>
      <c r="AB49" s="262" t="s">
        <v>43</v>
      </c>
      <c r="AC49" s="262"/>
      <c r="AD49" s="262" t="s">
        <v>40</v>
      </c>
    </row>
    <row r="50" spans="1:30">
      <c r="A50" s="179"/>
      <c r="B50" s="17"/>
      <c r="C50" s="180" t="str">
        <f>HLOOKUP(Language!$C$3,Language!$E$1:$Z526,21,FALSE)</f>
        <v>Four RJ45 copper 10/100BASE-TX</v>
      </c>
      <c r="D50" s="180" t="s">
        <v>120</v>
      </c>
      <c r="E50" s="180"/>
      <c r="F50" s="180" t="s">
        <v>40</v>
      </c>
      <c r="G50" s="180" t="str">
        <f>HLOOKUP(Language!$C$3,Language!$E$1:$Z486,22,FALSE)</f>
        <v>Not installed</v>
      </c>
      <c r="H50" s="180" t="s">
        <v>28</v>
      </c>
      <c r="I50" s="180"/>
      <c r="J50" s="180" t="s">
        <v>40</v>
      </c>
      <c r="K50" s="180" t="str">
        <f>HLOOKUP(Language!$C$3,Language!$E$1:$Z526,21,FALSE)</f>
        <v>Four RJ45 copper 10/100BASE-TX</v>
      </c>
      <c r="L50" s="180" t="s">
        <v>120</v>
      </c>
      <c r="M50" s="180"/>
      <c r="N50" s="180" t="s">
        <v>40</v>
      </c>
      <c r="O50" s="180" t="str">
        <f>HLOOKUP(Language!$C$3,Language!$E$1:$Z526,21,FALSE)</f>
        <v>Four RJ45 copper 10/100BASE-TX</v>
      </c>
      <c r="P50" s="180" t="s">
        <v>120</v>
      </c>
      <c r="Q50" s="180"/>
      <c r="R50" s="180" t="s">
        <v>40</v>
      </c>
      <c r="S50" s="180" t="str">
        <f>HLOOKUP(Language!$C$3,Language!$E$1:$Z526,21,FALSE)</f>
        <v>Four RJ45 copper 10/100BASE-TX</v>
      </c>
      <c r="T50" s="180" t="s">
        <v>120</v>
      </c>
      <c r="U50" s="180"/>
      <c r="V50" s="180" t="s">
        <v>40</v>
      </c>
      <c r="W50" s="262" t="str">
        <f>HLOOKUP(Language!$C$3,Language!$E$1:$Z526,21,FALSE)</f>
        <v>Four RJ45 copper 10/100BASE-TX</v>
      </c>
      <c r="X50" s="262" t="s">
        <v>120</v>
      </c>
      <c r="Y50" s="262"/>
      <c r="Z50" s="262" t="s">
        <v>40</v>
      </c>
      <c r="AA50" s="262" t="str">
        <f>HLOOKUP(Language!$C$3,Language!$E$1:$Z526,21,FALSE)</f>
        <v>Four RJ45 copper 10/100BASE-TX</v>
      </c>
      <c r="AB50" s="262" t="s">
        <v>120</v>
      </c>
      <c r="AC50" s="262"/>
      <c r="AD50" s="262" t="s">
        <v>40</v>
      </c>
    </row>
    <row r="51" spans="1:30">
      <c r="A51" s="179"/>
      <c r="B51" s="17"/>
      <c r="C51" s="192" t="str">
        <f>HLOOKUP(Language!$C$3,Language!$E$1:$Z519,49,FALSE)</f>
        <v>Four 1 Gbps RJ45 SFP Transceivers 10/100BASE-TX/1000BASE-T Ethernet ports (Not CE marked)</v>
      </c>
      <c r="D51" s="180" t="s">
        <v>114</v>
      </c>
      <c r="E51" s="180"/>
      <c r="F51" s="180" t="s">
        <v>40</v>
      </c>
      <c r="G51" s="192"/>
      <c r="H51" s="180"/>
      <c r="I51" s="180"/>
      <c r="J51" s="180"/>
      <c r="K51" s="192" t="str">
        <f>HLOOKUP(Language!$C$3,Language!$E$1:$Z519,49,FALSE)</f>
        <v>Four 1 Gbps RJ45 SFP Transceivers 10/100BASE-TX/1000BASE-T Ethernet ports (Not CE marked)</v>
      </c>
      <c r="L51" s="180" t="s">
        <v>114</v>
      </c>
      <c r="M51" s="180"/>
      <c r="N51" s="180" t="s">
        <v>40</v>
      </c>
      <c r="O51" s="192" t="str">
        <f>HLOOKUP(Language!$C$3,Language!$E$1:$Z519,49,FALSE)</f>
        <v>Four 1 Gbps RJ45 SFP Transceivers 10/100BASE-TX/1000BASE-T Ethernet ports (Not CE marked)</v>
      </c>
      <c r="P51" s="180" t="s">
        <v>114</v>
      </c>
      <c r="Q51" s="180"/>
      <c r="R51" s="180" t="s">
        <v>40</v>
      </c>
      <c r="S51" s="192" t="str">
        <f>HLOOKUP(Language!$C$3,Language!$E$1:$Z519,49,FALSE)</f>
        <v>Four 1 Gbps RJ45 SFP Transceivers 10/100BASE-TX/1000BASE-T Ethernet ports (Not CE marked)</v>
      </c>
      <c r="T51" s="180" t="s">
        <v>114</v>
      </c>
      <c r="U51" s="180"/>
      <c r="V51" s="180" t="s">
        <v>40</v>
      </c>
      <c r="W51" s="192" t="str">
        <f>HLOOKUP(Language!$C$3,Language!$E$1:$Z519,49,FALSE)</f>
        <v>Four 1 Gbps RJ45 SFP Transceivers 10/100BASE-TX/1000BASE-T Ethernet ports (Not CE marked)</v>
      </c>
      <c r="X51" s="262" t="s">
        <v>114</v>
      </c>
      <c r="Y51" s="262"/>
      <c r="Z51" s="262" t="s">
        <v>40</v>
      </c>
      <c r="AA51" s="262" t="str">
        <f>HLOOKUP(Language!$C$3,Language!$E$1:$Z488,22,FALSE)</f>
        <v>Not installed</v>
      </c>
      <c r="AB51" s="262" t="s">
        <v>28</v>
      </c>
      <c r="AC51" s="262"/>
      <c r="AD51" s="262" t="s">
        <v>40</v>
      </c>
    </row>
    <row r="52" spans="1:30" ht="24">
      <c r="A52" s="179"/>
      <c r="B52" s="17"/>
      <c r="C52" s="180" t="str">
        <f>HLOOKUP(Language!$C$3,Language!$E$1:$Z488,22,FALSE)</f>
        <v>Not installed</v>
      </c>
      <c r="D52" s="180" t="s">
        <v>28</v>
      </c>
      <c r="E52" s="180"/>
      <c r="F52" s="180" t="s">
        <v>40</v>
      </c>
      <c r="G52" s="180"/>
      <c r="H52" s="180"/>
      <c r="I52" s="180"/>
      <c r="J52" s="180"/>
      <c r="K52" s="180" t="str">
        <f>HLOOKUP(Language!$C$3,Language!$E$1:$Z488,22,FALSE)</f>
        <v>Not installed</v>
      </c>
      <c r="L52" s="180" t="s">
        <v>28</v>
      </c>
      <c r="M52" s="180"/>
      <c r="N52" s="180" t="s">
        <v>40</v>
      </c>
      <c r="O52" s="180" t="str">
        <f>HLOOKUP(Language!$C$3,Language!$E$1:$Z488,22,FALSE)</f>
        <v>Not installed</v>
      </c>
      <c r="P52" s="180" t="s">
        <v>28</v>
      </c>
      <c r="Q52" s="180"/>
      <c r="R52" s="180" t="s">
        <v>40</v>
      </c>
      <c r="S52" s="180" t="str">
        <f>HLOOKUP(Language!$C$3,Language!$E$1:$Z488,22,FALSE)</f>
        <v>Not installed</v>
      </c>
      <c r="T52" s="180" t="s">
        <v>28</v>
      </c>
      <c r="U52" s="180"/>
      <c r="V52" s="180" t="s">
        <v>40</v>
      </c>
      <c r="W52" s="262" t="str">
        <f>HLOOKUP(Language!$C$3,Language!$E$1:$Z488,22,FALSE)</f>
        <v>Not installed</v>
      </c>
      <c r="X52" s="262" t="s">
        <v>28</v>
      </c>
      <c r="Y52" s="262"/>
      <c r="Z52" s="262" t="s">
        <v>40</v>
      </c>
      <c r="AA52" s="192" t="str">
        <f>HLOOKUP(Language!$C$3,Language!$E$1:$Z527,70,FALSE)</f>
        <v>Four 1 Gbps RJ45 SFP Transceivers 10/100BASE-TX/1000BASE-T Ethernet ports (Not CE marked) (Withdraw)</v>
      </c>
      <c r="AB52" s="262" t="s">
        <v>114</v>
      </c>
      <c r="AC52" s="262"/>
      <c r="AD52" s="262" t="s">
        <v>40</v>
      </c>
    </row>
    <row r="53" spans="1:30">
      <c r="A53" s="181"/>
      <c r="B53" s="23"/>
      <c r="C53" s="182"/>
      <c r="D53" s="182"/>
      <c r="E53" s="182"/>
      <c r="F53" s="182"/>
      <c r="G53" s="182"/>
      <c r="H53" s="182"/>
      <c r="I53" s="182"/>
      <c r="J53" s="182"/>
      <c r="K53" s="182"/>
      <c r="L53" s="182"/>
      <c r="M53" s="182"/>
      <c r="N53" s="182"/>
      <c r="O53" s="182"/>
      <c r="P53" s="182"/>
      <c r="Q53" s="182"/>
      <c r="R53" s="182"/>
      <c r="S53" s="182"/>
      <c r="T53" s="182"/>
      <c r="U53" s="182"/>
      <c r="V53" s="182"/>
      <c r="W53" s="263"/>
      <c r="X53" s="263"/>
      <c r="Y53" s="263"/>
      <c r="Z53" s="263"/>
      <c r="AA53" s="263"/>
      <c r="AB53" s="263"/>
      <c r="AC53" s="263"/>
      <c r="AD53" s="263"/>
    </row>
    <row r="54" spans="1:30">
      <c r="A54" s="177">
        <v>7</v>
      </c>
      <c r="B54" s="16" t="str">
        <f>HLOOKUP(Language!$C$3,Language!$E$1:$Z510,12,FALSE)</f>
        <v>Interface Module 4</v>
      </c>
      <c r="C54" s="178" t="str">
        <f>HLOOKUP(Language!$C$3,Language!$E$1:$Z512,14,FALSE)</f>
        <v>Four 1 Gbps RJ45 copper 10/100BASE-TX/1000BASE-T Ethernet ports</v>
      </c>
      <c r="D54" s="178" t="s">
        <v>26</v>
      </c>
      <c r="E54" s="178"/>
      <c r="F54" s="178" t="s">
        <v>40</v>
      </c>
      <c r="G54" s="178" t="str">
        <f>HLOOKUP(Language!$C$3,Language!$E$1:$Z512,14,FALSE)</f>
        <v>Four 1 Gbps RJ45 copper 10/100BASE-TX/1000BASE-T Ethernet ports</v>
      </c>
      <c r="H54" s="178" t="s">
        <v>26</v>
      </c>
      <c r="I54" s="178"/>
      <c r="J54" s="178" t="s">
        <v>40</v>
      </c>
      <c r="K54" s="178" t="str">
        <f>HLOOKUP(Language!$C$3,Language!$E$1:$Z512,14,FALSE)</f>
        <v>Four 1 Gbps RJ45 copper 10/100BASE-TX/1000BASE-T Ethernet ports</v>
      </c>
      <c r="L54" s="178" t="s">
        <v>26</v>
      </c>
      <c r="M54" s="178"/>
      <c r="N54" s="178" t="s">
        <v>40</v>
      </c>
      <c r="O54" s="178" t="str">
        <f>HLOOKUP(Language!$C$3,Language!$E$1:$Z512,14,FALSE)</f>
        <v>Four 1 Gbps RJ45 copper 10/100BASE-TX/1000BASE-T Ethernet ports</v>
      </c>
      <c r="P54" s="178" t="s">
        <v>26</v>
      </c>
      <c r="Q54" s="178"/>
      <c r="R54" s="178" t="s">
        <v>40</v>
      </c>
      <c r="S54" s="178" t="str">
        <f>HLOOKUP(Language!$C$3,Language!$E$1:$Z512,14,FALSE)</f>
        <v>Four 1 Gbps RJ45 copper 10/100BASE-TX/1000BASE-T Ethernet ports</v>
      </c>
      <c r="T54" s="178" t="s">
        <v>26</v>
      </c>
      <c r="U54" s="178"/>
      <c r="V54" s="178" t="s">
        <v>40</v>
      </c>
      <c r="W54" s="261" t="str">
        <f>HLOOKUP(Language!$C$3,Language!$E$1:$Z512,14,FALSE)</f>
        <v>Four 1 Gbps RJ45 copper 10/100BASE-TX/1000BASE-T Ethernet ports</v>
      </c>
      <c r="X54" s="261" t="s">
        <v>26</v>
      </c>
      <c r="Y54" s="261"/>
      <c r="Z54" s="261" t="s">
        <v>40</v>
      </c>
      <c r="AA54" s="261" t="str">
        <f>HLOOKUP(Language!$C$3,Language!$E$1:$Z512,14,FALSE)</f>
        <v>Four 1 Gbps RJ45 copper 10/100BASE-TX/1000BASE-T Ethernet ports</v>
      </c>
      <c r="AB54" s="261" t="s">
        <v>26</v>
      </c>
      <c r="AC54" s="261"/>
      <c r="AD54" s="261" t="s">
        <v>40</v>
      </c>
    </row>
    <row r="55" spans="1:30">
      <c r="A55" s="179"/>
      <c r="B55" s="17"/>
      <c r="C55" s="122" t="str">
        <f>HLOOKUP(Language!$C$3,Language!$E$1:$Z512,15,FALSE)</f>
        <v>Four slots for SFP transceivers</v>
      </c>
      <c r="D55" s="180" t="s">
        <v>27</v>
      </c>
      <c r="E55" s="122"/>
      <c r="F55" s="180" t="s">
        <v>40</v>
      </c>
      <c r="G55" s="122" t="str">
        <f>HLOOKUP(Language!$C$3,Language!$E$1:$Z512,15,FALSE)</f>
        <v>Four slots for SFP transceivers</v>
      </c>
      <c r="H55" s="180" t="s">
        <v>27</v>
      </c>
      <c r="I55" s="122"/>
      <c r="J55" s="180" t="s">
        <v>40</v>
      </c>
      <c r="K55" s="122" t="str">
        <f>HLOOKUP(Language!$C$3,Language!$E$1:$Z512,15,FALSE)</f>
        <v>Four slots for SFP transceivers</v>
      </c>
      <c r="L55" s="180" t="s">
        <v>27</v>
      </c>
      <c r="M55" s="122"/>
      <c r="N55" s="180" t="s">
        <v>40</v>
      </c>
      <c r="O55" s="122" t="str">
        <f>HLOOKUP(Language!$C$3,Language!$E$1:$Z512,15,FALSE)</f>
        <v>Four slots for SFP transceivers</v>
      </c>
      <c r="P55" s="180" t="s">
        <v>27</v>
      </c>
      <c r="Q55" s="122"/>
      <c r="R55" s="180" t="s">
        <v>40</v>
      </c>
      <c r="S55" s="122" t="str">
        <f>HLOOKUP(Language!$C$3,Language!$E$1:$Z512,15,FALSE)</f>
        <v>Four slots for SFP transceivers</v>
      </c>
      <c r="T55" s="180" t="s">
        <v>27</v>
      </c>
      <c r="U55" s="122"/>
      <c r="V55" s="180" t="s">
        <v>40</v>
      </c>
      <c r="W55" s="122" t="str">
        <f>HLOOKUP(Language!$C$3,Language!$E$1:$Z512,15,FALSE)</f>
        <v>Four slots for SFP transceivers</v>
      </c>
      <c r="X55" s="262" t="s">
        <v>27</v>
      </c>
      <c r="Y55" s="122"/>
      <c r="Z55" s="262" t="s">
        <v>40</v>
      </c>
      <c r="AA55" s="122" t="str">
        <f>HLOOKUP(Language!$C$3,Language!$E$1:$Z512,15,FALSE)</f>
        <v>Four slots for SFP transceivers</v>
      </c>
      <c r="AB55" s="262" t="s">
        <v>27</v>
      </c>
      <c r="AC55" s="122"/>
      <c r="AD55" s="262" t="s">
        <v>40</v>
      </c>
    </row>
    <row r="56" spans="1:30">
      <c r="A56" s="179"/>
      <c r="B56" s="17"/>
      <c r="C56" s="180" t="str">
        <f>HLOOKUP(Language!$C$3,Language!$E$1:$Z513,16,FALSE)</f>
        <v>Four 1 Gbps LC-type connector multi mode fiber 1000BASE-SX Ethernet for up to 0.5 km</v>
      </c>
      <c r="D56" s="180" t="s">
        <v>29</v>
      </c>
      <c r="E56" s="180"/>
      <c r="F56" s="180" t="s">
        <v>40</v>
      </c>
      <c r="G56" s="180" t="str">
        <f>HLOOKUP(Language!$C$3,Language!$E$1:$Z513,16,FALSE)</f>
        <v>Four 1 Gbps LC-type connector multi mode fiber 1000BASE-SX Ethernet for up to 0.5 km</v>
      </c>
      <c r="H56" s="180" t="s">
        <v>29</v>
      </c>
      <c r="I56" s="180"/>
      <c r="J56" s="180" t="s">
        <v>40</v>
      </c>
      <c r="K56" s="180" t="str">
        <f>HLOOKUP(Language!$C$3,Language!$E$1:$Z513,16,FALSE)</f>
        <v>Four 1 Gbps LC-type connector multi mode fiber 1000BASE-SX Ethernet for up to 0.5 km</v>
      </c>
      <c r="L56" s="180" t="s">
        <v>29</v>
      </c>
      <c r="M56" s="180"/>
      <c r="N56" s="180" t="s">
        <v>40</v>
      </c>
      <c r="O56" s="180" t="str">
        <f>HLOOKUP(Language!$C$3,Language!$E$1:$Z513,16,FALSE)</f>
        <v>Four 1 Gbps LC-type connector multi mode fiber 1000BASE-SX Ethernet for up to 0.5 km</v>
      </c>
      <c r="P56" s="180" t="s">
        <v>29</v>
      </c>
      <c r="Q56" s="180"/>
      <c r="R56" s="180" t="s">
        <v>40</v>
      </c>
      <c r="S56" s="180" t="str">
        <f>HLOOKUP(Language!$C$3,Language!$E$1:$Z513,16,FALSE)</f>
        <v>Four 1 Gbps LC-type connector multi mode fiber 1000BASE-SX Ethernet for up to 0.5 km</v>
      </c>
      <c r="T56" s="180" t="s">
        <v>29</v>
      </c>
      <c r="U56" s="180"/>
      <c r="V56" s="180" t="s">
        <v>40</v>
      </c>
      <c r="W56" s="262" t="str">
        <f>HLOOKUP(Language!$C$3,Language!$E$1:$Z513,16,FALSE)</f>
        <v>Four 1 Gbps LC-type connector multi mode fiber 1000BASE-SX Ethernet for up to 0.5 km</v>
      </c>
      <c r="X56" s="262" t="s">
        <v>29</v>
      </c>
      <c r="Y56" s="262"/>
      <c r="Z56" s="262" t="s">
        <v>40</v>
      </c>
      <c r="AA56" s="262" t="str">
        <f>HLOOKUP(Language!$C$3,Language!$E$1:$Z513,16,FALSE)</f>
        <v>Four 1 Gbps LC-type connector multi mode fiber 1000BASE-SX Ethernet for up to 0.5 km</v>
      </c>
      <c r="AB56" s="262" t="s">
        <v>29</v>
      </c>
      <c r="AC56" s="262"/>
      <c r="AD56" s="262" t="s">
        <v>40</v>
      </c>
    </row>
    <row r="57" spans="1:30">
      <c r="A57" s="179"/>
      <c r="B57" s="17"/>
      <c r="C57" s="180" t="str">
        <f>HLOOKUP(Language!$C$3,Language!$E$1:$Z514,17,FALSE)</f>
        <v>Four 1 Gbps LC-type connector single mode fiber 1000BASE-LX Ethernet for up to 10 km</v>
      </c>
      <c r="D57" s="180" t="s">
        <v>30</v>
      </c>
      <c r="E57" s="180"/>
      <c r="F57" s="180" t="s">
        <v>40</v>
      </c>
      <c r="G57" s="180" t="str">
        <f>HLOOKUP(Language!$C$3,Language!$E$1:$Z514,17,FALSE)</f>
        <v>Four 1 Gbps LC-type connector single mode fiber 1000BASE-LX Ethernet for up to 10 km</v>
      </c>
      <c r="H57" s="180" t="s">
        <v>30</v>
      </c>
      <c r="I57" s="180"/>
      <c r="J57" s="180" t="s">
        <v>40</v>
      </c>
      <c r="K57" s="180" t="str">
        <f>HLOOKUP(Language!$C$3,Language!$E$1:$Z514,17,FALSE)</f>
        <v>Four 1 Gbps LC-type connector single mode fiber 1000BASE-LX Ethernet for up to 10 km</v>
      </c>
      <c r="L57" s="180" t="s">
        <v>30</v>
      </c>
      <c r="M57" s="180"/>
      <c r="N57" s="180" t="s">
        <v>40</v>
      </c>
      <c r="O57" s="180" t="str">
        <f>HLOOKUP(Language!$C$3,Language!$E$1:$Z514,17,FALSE)</f>
        <v>Four 1 Gbps LC-type connector single mode fiber 1000BASE-LX Ethernet for up to 10 km</v>
      </c>
      <c r="P57" s="180" t="s">
        <v>30</v>
      </c>
      <c r="Q57" s="180"/>
      <c r="R57" s="180" t="s">
        <v>40</v>
      </c>
      <c r="S57" s="180" t="str">
        <f>HLOOKUP(Language!$C$3,Language!$E$1:$Z514,17,FALSE)</f>
        <v>Four 1 Gbps LC-type connector single mode fiber 1000BASE-LX Ethernet for up to 10 km</v>
      </c>
      <c r="T57" s="180" t="s">
        <v>30</v>
      </c>
      <c r="U57" s="180"/>
      <c r="V57" s="180" t="s">
        <v>40</v>
      </c>
      <c r="W57" s="262" t="str">
        <f>HLOOKUP(Language!$C$3,Language!$E$1:$Z514,17,FALSE)</f>
        <v>Four 1 Gbps LC-type connector single mode fiber 1000BASE-LX Ethernet for up to 10 km</v>
      </c>
      <c r="X57" s="262" t="s">
        <v>30</v>
      </c>
      <c r="Y57" s="262"/>
      <c r="Z57" s="262" t="s">
        <v>40</v>
      </c>
      <c r="AA57" s="262" t="str">
        <f>HLOOKUP(Language!$C$3,Language!$E$1:$Z514,17,FALSE)</f>
        <v>Four 1 Gbps LC-type connector single mode fiber 1000BASE-LX Ethernet for up to 10 km</v>
      </c>
      <c r="AB57" s="262" t="s">
        <v>30</v>
      </c>
      <c r="AC57" s="262"/>
      <c r="AD57" s="262" t="s">
        <v>40</v>
      </c>
    </row>
    <row r="58" spans="1:30">
      <c r="A58" s="179"/>
      <c r="B58" s="17"/>
      <c r="C58" s="180" t="str">
        <f>HLOOKUP(Language!$C$3,Language!$E$1:$Z515,18,FALSE)</f>
        <v>Four 1 Gbps LC-type connector single mode fiber 1000BASE-ZX Ethernet for up to 40 km</v>
      </c>
      <c r="D58" s="180" t="s">
        <v>41</v>
      </c>
      <c r="E58" s="180"/>
      <c r="F58" s="180" t="s">
        <v>40</v>
      </c>
      <c r="G58" s="180" t="str">
        <f>HLOOKUP(Language!$C$3,Language!$E$1:$Z515,18,FALSE)</f>
        <v>Four 1 Gbps LC-type connector single mode fiber 1000BASE-ZX Ethernet for up to 40 km</v>
      </c>
      <c r="H58" s="180" t="s">
        <v>41</v>
      </c>
      <c r="I58" s="180"/>
      <c r="J58" s="180" t="s">
        <v>40</v>
      </c>
      <c r="K58" s="180" t="str">
        <f>HLOOKUP(Language!$C$3,Language!$E$1:$Z515,18,FALSE)</f>
        <v>Four 1 Gbps LC-type connector single mode fiber 1000BASE-ZX Ethernet for up to 40 km</v>
      </c>
      <c r="L58" s="180" t="s">
        <v>41</v>
      </c>
      <c r="M58" s="180"/>
      <c r="N58" s="180" t="s">
        <v>40</v>
      </c>
      <c r="O58" s="180" t="str">
        <f>HLOOKUP(Language!$C$3,Language!$E$1:$Z515,18,FALSE)</f>
        <v>Four 1 Gbps LC-type connector single mode fiber 1000BASE-ZX Ethernet for up to 40 km</v>
      </c>
      <c r="P58" s="180" t="s">
        <v>41</v>
      </c>
      <c r="Q58" s="180"/>
      <c r="R58" s="180" t="s">
        <v>40</v>
      </c>
      <c r="S58" s="180" t="str">
        <f>HLOOKUP(Language!$C$3,Language!$E$1:$Z515,18,FALSE)</f>
        <v>Four 1 Gbps LC-type connector single mode fiber 1000BASE-ZX Ethernet for up to 40 km</v>
      </c>
      <c r="T58" s="180" t="s">
        <v>41</v>
      </c>
      <c r="U58" s="180"/>
      <c r="V58" s="180" t="s">
        <v>40</v>
      </c>
      <c r="W58" s="262" t="str">
        <f>HLOOKUP(Language!$C$3,Language!$E$1:$Z515,18,FALSE)</f>
        <v>Four 1 Gbps LC-type connector single mode fiber 1000BASE-ZX Ethernet for up to 40 km</v>
      </c>
      <c r="X58" s="262" t="s">
        <v>41</v>
      </c>
      <c r="Y58" s="262"/>
      <c r="Z58" s="262" t="s">
        <v>40</v>
      </c>
      <c r="AA58" s="262" t="str">
        <f>HLOOKUP(Language!$C$3,Language!$E$1:$Z515,18,FALSE)</f>
        <v>Four 1 Gbps LC-type connector single mode fiber 1000BASE-ZX Ethernet for up to 40 km</v>
      </c>
      <c r="AB58" s="262" t="s">
        <v>41</v>
      </c>
      <c r="AC58" s="262"/>
      <c r="AD58" s="262" t="s">
        <v>40</v>
      </c>
    </row>
    <row r="59" spans="1:30">
      <c r="A59" s="179"/>
      <c r="B59" s="17"/>
      <c r="C59" s="180" t="str">
        <f>HLOOKUP(Language!$C$3,Language!$E$1:$Z516,19,FALSE)</f>
        <v>Four 1 Gbps LC-type connector single mode fiber 1000BASE-ZX Ethernet for up to 80 km</v>
      </c>
      <c r="D59" s="180" t="s">
        <v>42</v>
      </c>
      <c r="E59" s="180"/>
      <c r="F59" s="180" t="s">
        <v>40</v>
      </c>
      <c r="G59" s="180" t="str">
        <f>HLOOKUP(Language!$C$3,Language!$E$1:$Z516,19,FALSE)</f>
        <v>Four 1 Gbps LC-type connector single mode fiber 1000BASE-ZX Ethernet for up to 80 km</v>
      </c>
      <c r="H59" s="180" t="s">
        <v>42</v>
      </c>
      <c r="I59" s="180"/>
      <c r="J59" s="180" t="s">
        <v>40</v>
      </c>
      <c r="K59" s="180" t="str">
        <f>HLOOKUP(Language!$C$3,Language!$E$1:$Z516,19,FALSE)</f>
        <v>Four 1 Gbps LC-type connector single mode fiber 1000BASE-ZX Ethernet for up to 80 km</v>
      </c>
      <c r="L59" s="180" t="s">
        <v>42</v>
      </c>
      <c r="M59" s="180"/>
      <c r="N59" s="180" t="s">
        <v>40</v>
      </c>
      <c r="O59" s="180" t="str">
        <f>HLOOKUP(Language!$C$3,Language!$E$1:$Z516,19,FALSE)</f>
        <v>Four 1 Gbps LC-type connector single mode fiber 1000BASE-ZX Ethernet for up to 80 km</v>
      </c>
      <c r="P59" s="180" t="s">
        <v>42</v>
      </c>
      <c r="Q59" s="180"/>
      <c r="R59" s="180" t="s">
        <v>40</v>
      </c>
      <c r="S59" s="180" t="str">
        <f>HLOOKUP(Language!$C$3,Language!$E$1:$Z516,19,FALSE)</f>
        <v>Four 1 Gbps LC-type connector single mode fiber 1000BASE-ZX Ethernet for up to 80 km</v>
      </c>
      <c r="T59" s="180" t="s">
        <v>42</v>
      </c>
      <c r="U59" s="180"/>
      <c r="V59" s="180" t="s">
        <v>40</v>
      </c>
      <c r="W59" s="262" t="str">
        <f>HLOOKUP(Language!$C$3,Language!$E$1:$Z516,19,FALSE)</f>
        <v>Four 1 Gbps LC-type connector single mode fiber 1000BASE-ZX Ethernet for up to 80 km</v>
      </c>
      <c r="X59" s="262" t="s">
        <v>42</v>
      </c>
      <c r="Y59" s="262"/>
      <c r="Z59" s="262" t="s">
        <v>40</v>
      </c>
      <c r="AA59" s="262" t="str">
        <f>HLOOKUP(Language!$C$3,Language!$E$1:$Z516,19,FALSE)</f>
        <v>Four 1 Gbps LC-type connector single mode fiber 1000BASE-ZX Ethernet for up to 80 km</v>
      </c>
      <c r="AB59" s="262" t="s">
        <v>42</v>
      </c>
      <c r="AC59" s="262"/>
      <c r="AD59" s="262" t="s">
        <v>40</v>
      </c>
    </row>
    <row r="60" spans="1:30">
      <c r="A60" s="179"/>
      <c r="B60" s="17"/>
      <c r="C60" s="180" t="str">
        <f>HLOOKUP(Language!$C$3,Language!$E$1:$Z517,20,FALSE)</f>
        <v>Four 100 Mbps LC-type connector multi mode fiber 100BASE-FX Ethernet for up to 2 km</v>
      </c>
      <c r="D60" s="180" t="s">
        <v>43</v>
      </c>
      <c r="E60" s="180"/>
      <c r="F60" s="180" t="s">
        <v>40</v>
      </c>
      <c r="G60" s="180" t="str">
        <f>HLOOKUP(Language!$C$3,Language!$E$1:$Z517,20,FALSE)</f>
        <v>Four 100 Mbps LC-type connector multi mode fiber 100BASE-FX Ethernet for up to 2 km</v>
      </c>
      <c r="H60" s="180" t="s">
        <v>43</v>
      </c>
      <c r="I60" s="180"/>
      <c r="J60" s="180" t="s">
        <v>40</v>
      </c>
      <c r="K60" s="180" t="str">
        <f>HLOOKUP(Language!$C$3,Language!$E$1:$Z517,20,FALSE)</f>
        <v>Four 100 Mbps LC-type connector multi mode fiber 100BASE-FX Ethernet for up to 2 km</v>
      </c>
      <c r="L60" s="180" t="s">
        <v>43</v>
      </c>
      <c r="M60" s="180"/>
      <c r="N60" s="180" t="s">
        <v>40</v>
      </c>
      <c r="O60" s="180" t="str">
        <f>HLOOKUP(Language!$C$3,Language!$E$1:$Z517,20,FALSE)</f>
        <v>Four 100 Mbps LC-type connector multi mode fiber 100BASE-FX Ethernet for up to 2 km</v>
      </c>
      <c r="P60" s="180" t="s">
        <v>43</v>
      </c>
      <c r="Q60" s="180"/>
      <c r="R60" s="180" t="s">
        <v>40</v>
      </c>
      <c r="S60" s="180" t="str">
        <f>HLOOKUP(Language!$C$3,Language!$E$1:$Z517,20,FALSE)</f>
        <v>Four 100 Mbps LC-type connector multi mode fiber 100BASE-FX Ethernet for up to 2 km</v>
      </c>
      <c r="T60" s="180" t="s">
        <v>43</v>
      </c>
      <c r="U60" s="180"/>
      <c r="V60" s="180" t="s">
        <v>40</v>
      </c>
      <c r="W60" s="262" t="str">
        <f>HLOOKUP(Language!$C$3,Language!$E$1:$Z517,20,FALSE)</f>
        <v>Four 100 Mbps LC-type connector multi mode fiber 100BASE-FX Ethernet for up to 2 km</v>
      </c>
      <c r="X60" s="262" t="s">
        <v>43</v>
      </c>
      <c r="Y60" s="262"/>
      <c r="Z60" s="262" t="s">
        <v>40</v>
      </c>
      <c r="AA60" s="262" t="str">
        <f>HLOOKUP(Language!$C$3,Language!$E$1:$Z517,20,FALSE)</f>
        <v>Four 100 Mbps LC-type connector multi mode fiber 100BASE-FX Ethernet for up to 2 km</v>
      </c>
      <c r="AB60" s="262" t="s">
        <v>43</v>
      </c>
      <c r="AC60" s="262"/>
      <c r="AD60" s="262" t="s">
        <v>40</v>
      </c>
    </row>
    <row r="61" spans="1:30">
      <c r="A61" s="179"/>
      <c r="B61" s="17"/>
      <c r="C61" s="180" t="str">
        <f>HLOOKUP(Language!$C$3,Language!$E$1:$Z537,21,FALSE)</f>
        <v>Four RJ45 copper 10/100BASE-TX</v>
      </c>
      <c r="D61" s="180" t="s">
        <v>120</v>
      </c>
      <c r="E61" s="180"/>
      <c r="F61" s="180" t="s">
        <v>40</v>
      </c>
      <c r="G61" s="180" t="str">
        <f>HLOOKUP(Language!$C$3,Language!$E$1:$Z498,22,FALSE)</f>
        <v>Not installed</v>
      </c>
      <c r="H61" s="180" t="s">
        <v>28</v>
      </c>
      <c r="I61" s="180"/>
      <c r="J61" s="180" t="s">
        <v>40</v>
      </c>
      <c r="K61" s="180" t="str">
        <f>HLOOKUP(Language!$C$3,Language!$E$1:$Z537,21,FALSE)</f>
        <v>Four RJ45 copper 10/100BASE-TX</v>
      </c>
      <c r="L61" s="180" t="s">
        <v>120</v>
      </c>
      <c r="M61" s="180"/>
      <c r="N61" s="180" t="s">
        <v>40</v>
      </c>
      <c r="O61" s="180" t="str">
        <f>HLOOKUP(Language!$C$3,Language!$E$1:$Z537,21,FALSE)</f>
        <v>Four RJ45 copper 10/100BASE-TX</v>
      </c>
      <c r="P61" s="180" t="s">
        <v>120</v>
      </c>
      <c r="Q61" s="180"/>
      <c r="R61" s="180" t="s">
        <v>40</v>
      </c>
      <c r="S61" s="180" t="str">
        <f>HLOOKUP(Language!$C$3,Language!$E$1:$Z537,21,FALSE)</f>
        <v>Four RJ45 copper 10/100BASE-TX</v>
      </c>
      <c r="T61" s="180" t="s">
        <v>120</v>
      </c>
      <c r="U61" s="180"/>
      <c r="V61" s="180" t="s">
        <v>40</v>
      </c>
      <c r="W61" s="262" t="str">
        <f>HLOOKUP(Language!$C$3,Language!$E$1:$Z537,21,FALSE)</f>
        <v>Four RJ45 copper 10/100BASE-TX</v>
      </c>
      <c r="X61" s="262" t="s">
        <v>120</v>
      </c>
      <c r="Y61" s="262"/>
      <c r="Z61" s="262" t="s">
        <v>40</v>
      </c>
      <c r="AA61" s="262" t="str">
        <f>HLOOKUP(Language!$C$3,Language!$E$1:$Z537,21,FALSE)</f>
        <v>Four RJ45 copper 10/100BASE-TX</v>
      </c>
      <c r="AB61" s="262" t="s">
        <v>120</v>
      </c>
      <c r="AC61" s="262"/>
      <c r="AD61" s="262" t="s">
        <v>40</v>
      </c>
    </row>
    <row r="62" spans="1:30">
      <c r="A62" s="179"/>
      <c r="B62" s="17"/>
      <c r="C62" s="192" t="str">
        <f>HLOOKUP(Language!$C$3,Language!$E$1:$Z529,49,FALSE)</f>
        <v>Four 1 Gbps RJ45 SFP Transceivers 10/100BASE-TX/1000BASE-T Ethernet ports (Not CE marked)</v>
      </c>
      <c r="D62" s="180" t="s">
        <v>114</v>
      </c>
      <c r="E62" s="180"/>
      <c r="F62" s="180" t="s">
        <v>40</v>
      </c>
      <c r="G62" s="192"/>
      <c r="H62" s="180"/>
      <c r="I62" s="180"/>
      <c r="J62" s="180"/>
      <c r="K62" s="192" t="str">
        <f>HLOOKUP(Language!$C$3,Language!$E$1:$Z529,49,FALSE)</f>
        <v>Four 1 Gbps RJ45 SFP Transceivers 10/100BASE-TX/1000BASE-T Ethernet ports (Not CE marked)</v>
      </c>
      <c r="L62" s="180" t="s">
        <v>114</v>
      </c>
      <c r="M62" s="180"/>
      <c r="N62" s="180" t="s">
        <v>40</v>
      </c>
      <c r="O62" s="192" t="str">
        <f>HLOOKUP(Language!$C$3,Language!$E$1:$Z529,49,FALSE)</f>
        <v>Four 1 Gbps RJ45 SFP Transceivers 10/100BASE-TX/1000BASE-T Ethernet ports (Not CE marked)</v>
      </c>
      <c r="P62" s="180" t="s">
        <v>114</v>
      </c>
      <c r="Q62" s="180"/>
      <c r="R62" s="180" t="s">
        <v>40</v>
      </c>
      <c r="S62" s="192" t="str">
        <f>HLOOKUP(Language!$C$3,Language!$E$1:$Z529,49,FALSE)</f>
        <v>Four 1 Gbps RJ45 SFP Transceivers 10/100BASE-TX/1000BASE-T Ethernet ports (Not CE marked)</v>
      </c>
      <c r="T62" s="180" t="s">
        <v>114</v>
      </c>
      <c r="U62" s="180"/>
      <c r="V62" s="180" t="s">
        <v>40</v>
      </c>
      <c r="W62" s="192" t="str">
        <f>HLOOKUP(Language!$C$3,Language!$E$1:$Z529,49,FALSE)</f>
        <v>Four 1 Gbps RJ45 SFP Transceivers 10/100BASE-TX/1000BASE-T Ethernet ports (Not CE marked)</v>
      </c>
      <c r="X62" s="262" t="s">
        <v>114</v>
      </c>
      <c r="Y62" s="262"/>
      <c r="Z62" s="262" t="s">
        <v>40</v>
      </c>
      <c r="AA62" s="262" t="str">
        <f>HLOOKUP(Language!$C$3,Language!$E$1:$Z499,22,FALSE)</f>
        <v>Not installed</v>
      </c>
      <c r="AB62" s="262" t="s">
        <v>28</v>
      </c>
      <c r="AC62" s="262"/>
      <c r="AD62" s="262" t="s">
        <v>40</v>
      </c>
    </row>
    <row r="63" spans="1:30" ht="24">
      <c r="A63" s="179"/>
      <c r="B63" s="17"/>
      <c r="C63" s="180" t="str">
        <f>HLOOKUP(Language!$C$3,Language!$E$1:$Z498,22,FALSE)</f>
        <v>Not installed</v>
      </c>
      <c r="D63" s="180" t="s">
        <v>28</v>
      </c>
      <c r="E63" s="180"/>
      <c r="F63" s="180" t="s">
        <v>40</v>
      </c>
      <c r="G63" s="15"/>
      <c r="H63" s="15"/>
      <c r="I63" s="180"/>
      <c r="J63" s="180"/>
      <c r="K63" s="180" t="str">
        <f>HLOOKUP(Language!$C$3,Language!$E$1:$Z498,22,FALSE)</f>
        <v>Not installed</v>
      </c>
      <c r="L63" s="180" t="s">
        <v>28</v>
      </c>
      <c r="M63" s="180"/>
      <c r="N63" s="180" t="s">
        <v>40</v>
      </c>
      <c r="O63" s="180" t="str">
        <f>HLOOKUP(Language!$C$3,Language!$E$1:$Z498,22,FALSE)</f>
        <v>Not installed</v>
      </c>
      <c r="P63" s="180" t="s">
        <v>28</v>
      </c>
      <c r="Q63" s="180"/>
      <c r="R63" s="180" t="s">
        <v>40</v>
      </c>
      <c r="S63" s="180" t="str">
        <f>HLOOKUP(Language!$C$3,Language!$E$1:$Z498,22,FALSE)</f>
        <v>Not installed</v>
      </c>
      <c r="T63" s="180" t="s">
        <v>28</v>
      </c>
      <c r="U63" s="180"/>
      <c r="V63" s="180" t="s">
        <v>40</v>
      </c>
      <c r="W63" s="262" t="str">
        <f>HLOOKUP(Language!$C$3,Language!$E$1:$Z498,22,FALSE)</f>
        <v>Not installed</v>
      </c>
      <c r="X63" s="262" t="s">
        <v>28</v>
      </c>
      <c r="Y63" s="262"/>
      <c r="Z63" s="262" t="s">
        <v>40</v>
      </c>
      <c r="AA63" s="192" t="str">
        <f>HLOOKUP(Language!$C$3,Language!$E$1:$Z538,70,FALSE)</f>
        <v>Four 1 Gbps RJ45 SFP Transceivers 10/100BASE-TX/1000BASE-T Ethernet ports (Not CE marked) (Withdraw)</v>
      </c>
      <c r="AB63" s="262" t="s">
        <v>114</v>
      </c>
      <c r="AC63" s="262"/>
      <c r="AD63" s="262" t="s">
        <v>40</v>
      </c>
    </row>
    <row r="64" spans="1:30">
      <c r="A64" s="181"/>
      <c r="B64" s="23"/>
      <c r="C64" s="182"/>
      <c r="D64" s="182"/>
      <c r="E64" s="182"/>
      <c r="F64" s="182"/>
      <c r="G64" s="182"/>
      <c r="H64" s="182"/>
      <c r="I64" s="182"/>
      <c r="J64" s="182"/>
      <c r="K64" s="182"/>
      <c r="L64" s="182"/>
      <c r="M64" s="182"/>
      <c r="N64" s="182"/>
      <c r="O64" s="182"/>
      <c r="P64" s="182"/>
      <c r="Q64" s="182"/>
      <c r="R64" s="182"/>
      <c r="S64" s="182"/>
      <c r="T64" s="182"/>
      <c r="U64" s="182"/>
      <c r="V64" s="182"/>
      <c r="W64" s="263"/>
      <c r="X64" s="263"/>
      <c r="Y64" s="263"/>
      <c r="Z64" s="263"/>
      <c r="AA64" s="263"/>
      <c r="AB64" s="263"/>
      <c r="AC64" s="263"/>
      <c r="AD64" s="263"/>
    </row>
    <row r="65" spans="1:30">
      <c r="A65" s="177">
        <v>8</v>
      </c>
      <c r="B65" s="16" t="str">
        <f>HLOOKUP(Language!$C$3,Language!$E$1:$Z510,13,FALSE)</f>
        <v>Interface Module 5</v>
      </c>
      <c r="C65" s="178" t="str">
        <f>HLOOKUP(Language!$C$3,Language!$E$1:$Z512,14,FALSE)</f>
        <v>Four 1 Gbps RJ45 copper 10/100BASE-TX/1000BASE-T Ethernet ports</v>
      </c>
      <c r="D65" s="178" t="s">
        <v>26</v>
      </c>
      <c r="E65" s="178"/>
      <c r="F65" s="178" t="s">
        <v>40</v>
      </c>
      <c r="G65" s="178" t="str">
        <f>HLOOKUP(Language!$C$3,Language!$E$1:$Z512,14,FALSE)</f>
        <v>Four 1 Gbps RJ45 copper 10/100BASE-TX/1000BASE-T Ethernet ports</v>
      </c>
      <c r="H65" s="178" t="s">
        <v>26</v>
      </c>
      <c r="I65" s="178"/>
      <c r="J65" s="178" t="s">
        <v>40</v>
      </c>
      <c r="K65" s="178" t="str">
        <f>HLOOKUP(Language!$C$3,Language!$E$1:$Z512,14,FALSE)</f>
        <v>Four 1 Gbps RJ45 copper 10/100BASE-TX/1000BASE-T Ethernet ports</v>
      </c>
      <c r="L65" s="178" t="s">
        <v>26</v>
      </c>
      <c r="M65" s="178"/>
      <c r="N65" s="178" t="s">
        <v>40</v>
      </c>
      <c r="O65" s="178" t="str">
        <f>HLOOKUP(Language!$C$3,Language!$E$1:$Z512,14,FALSE)</f>
        <v>Four 1 Gbps RJ45 copper 10/100BASE-TX/1000BASE-T Ethernet ports</v>
      </c>
      <c r="P65" s="178" t="s">
        <v>26</v>
      </c>
      <c r="Q65" s="178"/>
      <c r="R65" s="178" t="s">
        <v>40</v>
      </c>
      <c r="S65" s="178" t="str">
        <f>HLOOKUP(Language!$C$3,Language!$E$1:$Z512,14,FALSE)</f>
        <v>Four 1 Gbps RJ45 copper 10/100BASE-TX/1000BASE-T Ethernet ports</v>
      </c>
      <c r="T65" s="178" t="s">
        <v>26</v>
      </c>
      <c r="U65" s="178"/>
      <c r="V65" s="178" t="s">
        <v>40</v>
      </c>
      <c r="W65" s="261" t="str">
        <f>HLOOKUP(Language!$C$3,Language!$E$1:$Z512,14,FALSE)</f>
        <v>Four 1 Gbps RJ45 copper 10/100BASE-TX/1000BASE-T Ethernet ports</v>
      </c>
      <c r="X65" s="261" t="s">
        <v>26</v>
      </c>
      <c r="Y65" s="261"/>
      <c r="Z65" s="261" t="s">
        <v>40</v>
      </c>
      <c r="AA65" s="261" t="str">
        <f>HLOOKUP(Language!$C$3,Language!$E$1:$Z512,14,FALSE)</f>
        <v>Four 1 Gbps RJ45 copper 10/100BASE-TX/1000BASE-T Ethernet ports</v>
      </c>
      <c r="AB65" s="261" t="s">
        <v>26</v>
      </c>
      <c r="AC65" s="261"/>
      <c r="AD65" s="261" t="s">
        <v>40</v>
      </c>
    </row>
    <row r="66" spans="1:30">
      <c r="A66" s="179"/>
      <c r="B66" s="17"/>
      <c r="C66" s="122" t="str">
        <f>HLOOKUP(Language!$C$3,Language!$E$1:$Z512,15,FALSE)</f>
        <v>Four slots for SFP transceivers</v>
      </c>
      <c r="D66" s="180" t="s">
        <v>27</v>
      </c>
      <c r="E66" s="122"/>
      <c r="F66" s="180" t="s">
        <v>40</v>
      </c>
      <c r="G66" s="122" t="str">
        <f>HLOOKUP(Language!$C$3,Language!$E$1:$Z512,15,FALSE)</f>
        <v>Four slots for SFP transceivers</v>
      </c>
      <c r="H66" s="180" t="s">
        <v>27</v>
      </c>
      <c r="I66" s="122"/>
      <c r="J66" s="180" t="s">
        <v>40</v>
      </c>
      <c r="K66" s="122" t="str">
        <f>HLOOKUP(Language!$C$3,Language!$E$1:$Z512,15,FALSE)</f>
        <v>Four slots for SFP transceivers</v>
      </c>
      <c r="L66" s="180" t="s">
        <v>27</v>
      </c>
      <c r="M66" s="122"/>
      <c r="N66" s="180" t="s">
        <v>40</v>
      </c>
      <c r="O66" s="122" t="str">
        <f>HLOOKUP(Language!$C$3,Language!$E$1:$Z512,15,FALSE)</f>
        <v>Four slots for SFP transceivers</v>
      </c>
      <c r="P66" s="180" t="s">
        <v>27</v>
      </c>
      <c r="Q66" s="122"/>
      <c r="R66" s="180" t="s">
        <v>40</v>
      </c>
      <c r="S66" s="122" t="str">
        <f>HLOOKUP(Language!$C$3,Language!$E$1:$Z512,15,FALSE)</f>
        <v>Four slots for SFP transceivers</v>
      </c>
      <c r="T66" s="180" t="s">
        <v>27</v>
      </c>
      <c r="U66" s="122"/>
      <c r="V66" s="180" t="s">
        <v>40</v>
      </c>
      <c r="W66" s="122" t="str">
        <f>HLOOKUP(Language!$C$3,Language!$E$1:$Z512,15,FALSE)</f>
        <v>Four slots for SFP transceivers</v>
      </c>
      <c r="X66" s="262" t="s">
        <v>27</v>
      </c>
      <c r="Y66" s="122"/>
      <c r="Z66" s="262" t="s">
        <v>40</v>
      </c>
      <c r="AA66" s="122" t="str">
        <f>HLOOKUP(Language!$C$3,Language!$E$1:$Z512,15,FALSE)</f>
        <v>Four slots for SFP transceivers</v>
      </c>
      <c r="AB66" s="262" t="s">
        <v>27</v>
      </c>
      <c r="AC66" s="122"/>
      <c r="AD66" s="262" t="s">
        <v>40</v>
      </c>
    </row>
    <row r="67" spans="1:30">
      <c r="A67" s="179"/>
      <c r="B67" s="17"/>
      <c r="C67" s="180" t="str">
        <f>HLOOKUP(Language!$C$3,Language!$E$1:$Z513,16,FALSE)</f>
        <v>Four 1 Gbps LC-type connector multi mode fiber 1000BASE-SX Ethernet for up to 0.5 km</v>
      </c>
      <c r="D67" s="180" t="s">
        <v>29</v>
      </c>
      <c r="E67" s="180"/>
      <c r="F67" s="180" t="s">
        <v>40</v>
      </c>
      <c r="G67" s="180" t="str">
        <f>HLOOKUP(Language!$C$3,Language!$E$1:$Z513,16,FALSE)</f>
        <v>Four 1 Gbps LC-type connector multi mode fiber 1000BASE-SX Ethernet for up to 0.5 km</v>
      </c>
      <c r="H67" s="180" t="s">
        <v>29</v>
      </c>
      <c r="I67" s="180"/>
      <c r="J67" s="180" t="s">
        <v>40</v>
      </c>
      <c r="K67" s="180" t="str">
        <f>HLOOKUP(Language!$C$3,Language!$E$1:$Z513,16,FALSE)</f>
        <v>Four 1 Gbps LC-type connector multi mode fiber 1000BASE-SX Ethernet for up to 0.5 km</v>
      </c>
      <c r="L67" s="180" t="s">
        <v>29</v>
      </c>
      <c r="M67" s="180"/>
      <c r="N67" s="180" t="s">
        <v>40</v>
      </c>
      <c r="O67" s="180" t="str">
        <f>HLOOKUP(Language!$C$3,Language!$E$1:$Z513,16,FALSE)</f>
        <v>Four 1 Gbps LC-type connector multi mode fiber 1000BASE-SX Ethernet for up to 0.5 km</v>
      </c>
      <c r="P67" s="180" t="s">
        <v>29</v>
      </c>
      <c r="Q67" s="180"/>
      <c r="R67" s="180" t="s">
        <v>40</v>
      </c>
      <c r="S67" s="180" t="str">
        <f>HLOOKUP(Language!$C$3,Language!$E$1:$Z513,16,FALSE)</f>
        <v>Four 1 Gbps LC-type connector multi mode fiber 1000BASE-SX Ethernet for up to 0.5 km</v>
      </c>
      <c r="T67" s="180" t="s">
        <v>29</v>
      </c>
      <c r="U67" s="180"/>
      <c r="V67" s="180" t="s">
        <v>40</v>
      </c>
      <c r="W67" s="262" t="str">
        <f>HLOOKUP(Language!$C$3,Language!$E$1:$Z513,16,FALSE)</f>
        <v>Four 1 Gbps LC-type connector multi mode fiber 1000BASE-SX Ethernet for up to 0.5 km</v>
      </c>
      <c r="X67" s="262" t="s">
        <v>29</v>
      </c>
      <c r="Y67" s="262"/>
      <c r="Z67" s="262" t="s">
        <v>40</v>
      </c>
      <c r="AA67" s="262" t="str">
        <f>HLOOKUP(Language!$C$3,Language!$E$1:$Z513,16,FALSE)</f>
        <v>Four 1 Gbps LC-type connector multi mode fiber 1000BASE-SX Ethernet for up to 0.5 km</v>
      </c>
      <c r="AB67" s="262" t="s">
        <v>29</v>
      </c>
      <c r="AC67" s="262"/>
      <c r="AD67" s="262" t="s">
        <v>40</v>
      </c>
    </row>
    <row r="68" spans="1:30">
      <c r="A68" s="179"/>
      <c r="B68" s="17"/>
      <c r="C68" s="180" t="str">
        <f>HLOOKUP(Language!$C$3,Language!$E$1:$Z514,17,FALSE)</f>
        <v>Four 1 Gbps LC-type connector single mode fiber 1000BASE-LX Ethernet for up to 10 km</v>
      </c>
      <c r="D68" s="180" t="s">
        <v>30</v>
      </c>
      <c r="E68" s="180"/>
      <c r="F68" s="180" t="s">
        <v>40</v>
      </c>
      <c r="G68" s="180" t="str">
        <f>HLOOKUP(Language!$C$3,Language!$E$1:$Z514,17,FALSE)</f>
        <v>Four 1 Gbps LC-type connector single mode fiber 1000BASE-LX Ethernet for up to 10 km</v>
      </c>
      <c r="H68" s="180" t="s">
        <v>30</v>
      </c>
      <c r="I68" s="180"/>
      <c r="J68" s="180" t="s">
        <v>40</v>
      </c>
      <c r="K68" s="180" t="str">
        <f>HLOOKUP(Language!$C$3,Language!$E$1:$Z514,17,FALSE)</f>
        <v>Four 1 Gbps LC-type connector single mode fiber 1000BASE-LX Ethernet for up to 10 km</v>
      </c>
      <c r="L68" s="180" t="s">
        <v>30</v>
      </c>
      <c r="M68" s="180"/>
      <c r="N68" s="180" t="s">
        <v>40</v>
      </c>
      <c r="O68" s="180" t="str">
        <f>HLOOKUP(Language!$C$3,Language!$E$1:$Z514,17,FALSE)</f>
        <v>Four 1 Gbps LC-type connector single mode fiber 1000BASE-LX Ethernet for up to 10 km</v>
      </c>
      <c r="P68" s="180" t="s">
        <v>30</v>
      </c>
      <c r="Q68" s="180"/>
      <c r="R68" s="180" t="s">
        <v>40</v>
      </c>
      <c r="S68" s="180" t="str">
        <f>HLOOKUP(Language!$C$3,Language!$E$1:$Z514,17,FALSE)</f>
        <v>Four 1 Gbps LC-type connector single mode fiber 1000BASE-LX Ethernet for up to 10 km</v>
      </c>
      <c r="T68" s="180" t="s">
        <v>30</v>
      </c>
      <c r="U68" s="180"/>
      <c r="V68" s="180" t="s">
        <v>40</v>
      </c>
      <c r="W68" s="262" t="str">
        <f>HLOOKUP(Language!$C$3,Language!$E$1:$Z514,17,FALSE)</f>
        <v>Four 1 Gbps LC-type connector single mode fiber 1000BASE-LX Ethernet for up to 10 km</v>
      </c>
      <c r="X68" s="262" t="s">
        <v>30</v>
      </c>
      <c r="Y68" s="262"/>
      <c r="Z68" s="262" t="s">
        <v>40</v>
      </c>
      <c r="AA68" s="262" t="str">
        <f>HLOOKUP(Language!$C$3,Language!$E$1:$Z514,17,FALSE)</f>
        <v>Four 1 Gbps LC-type connector single mode fiber 1000BASE-LX Ethernet for up to 10 km</v>
      </c>
      <c r="AB68" s="262" t="s">
        <v>30</v>
      </c>
      <c r="AC68" s="262"/>
      <c r="AD68" s="262" t="s">
        <v>40</v>
      </c>
    </row>
    <row r="69" spans="1:30">
      <c r="A69" s="179"/>
      <c r="B69" s="17"/>
      <c r="C69" s="180" t="str">
        <f>HLOOKUP(Language!$C$3,Language!$E$1:$Z515,18,FALSE)</f>
        <v>Four 1 Gbps LC-type connector single mode fiber 1000BASE-ZX Ethernet for up to 40 km</v>
      </c>
      <c r="D69" s="180" t="s">
        <v>41</v>
      </c>
      <c r="E69" s="180"/>
      <c r="F69" s="180" t="s">
        <v>40</v>
      </c>
      <c r="G69" s="180" t="str">
        <f>HLOOKUP(Language!$C$3,Language!$E$1:$Z515,18,FALSE)</f>
        <v>Four 1 Gbps LC-type connector single mode fiber 1000BASE-ZX Ethernet for up to 40 km</v>
      </c>
      <c r="H69" s="180" t="s">
        <v>41</v>
      </c>
      <c r="I69" s="180"/>
      <c r="J69" s="180" t="s">
        <v>40</v>
      </c>
      <c r="K69" s="180" t="str">
        <f>HLOOKUP(Language!$C$3,Language!$E$1:$Z515,18,FALSE)</f>
        <v>Four 1 Gbps LC-type connector single mode fiber 1000BASE-ZX Ethernet for up to 40 km</v>
      </c>
      <c r="L69" s="180" t="s">
        <v>41</v>
      </c>
      <c r="M69" s="180"/>
      <c r="N69" s="180" t="s">
        <v>40</v>
      </c>
      <c r="O69" s="180" t="str">
        <f>HLOOKUP(Language!$C$3,Language!$E$1:$Z515,18,FALSE)</f>
        <v>Four 1 Gbps LC-type connector single mode fiber 1000BASE-ZX Ethernet for up to 40 km</v>
      </c>
      <c r="P69" s="180" t="s">
        <v>41</v>
      </c>
      <c r="Q69" s="180"/>
      <c r="R69" s="180" t="s">
        <v>40</v>
      </c>
      <c r="S69" s="180" t="str">
        <f>HLOOKUP(Language!$C$3,Language!$E$1:$Z515,18,FALSE)</f>
        <v>Four 1 Gbps LC-type connector single mode fiber 1000BASE-ZX Ethernet for up to 40 km</v>
      </c>
      <c r="T69" s="180" t="s">
        <v>41</v>
      </c>
      <c r="U69" s="180"/>
      <c r="V69" s="180" t="s">
        <v>40</v>
      </c>
      <c r="W69" s="262" t="str">
        <f>HLOOKUP(Language!$C$3,Language!$E$1:$Z515,18,FALSE)</f>
        <v>Four 1 Gbps LC-type connector single mode fiber 1000BASE-ZX Ethernet for up to 40 km</v>
      </c>
      <c r="X69" s="262" t="s">
        <v>41</v>
      </c>
      <c r="Y69" s="262"/>
      <c r="Z69" s="262" t="s">
        <v>40</v>
      </c>
      <c r="AA69" s="262" t="str">
        <f>HLOOKUP(Language!$C$3,Language!$E$1:$Z515,18,FALSE)</f>
        <v>Four 1 Gbps LC-type connector single mode fiber 1000BASE-ZX Ethernet for up to 40 km</v>
      </c>
      <c r="AB69" s="262" t="s">
        <v>41</v>
      </c>
      <c r="AC69" s="262"/>
      <c r="AD69" s="262" t="s">
        <v>40</v>
      </c>
    </row>
    <row r="70" spans="1:30">
      <c r="A70" s="179"/>
      <c r="B70" s="17"/>
      <c r="C70" s="180" t="str">
        <f>HLOOKUP(Language!$C$3,Language!$E$1:$Z516,19,FALSE)</f>
        <v>Four 1 Gbps LC-type connector single mode fiber 1000BASE-ZX Ethernet for up to 80 km</v>
      </c>
      <c r="D70" s="180" t="s">
        <v>42</v>
      </c>
      <c r="E70" s="180"/>
      <c r="F70" s="180" t="s">
        <v>40</v>
      </c>
      <c r="G70" s="180" t="str">
        <f>HLOOKUP(Language!$C$3,Language!$E$1:$Z516,19,FALSE)</f>
        <v>Four 1 Gbps LC-type connector single mode fiber 1000BASE-ZX Ethernet for up to 80 km</v>
      </c>
      <c r="H70" s="180" t="s">
        <v>42</v>
      </c>
      <c r="I70" s="180"/>
      <c r="J70" s="180" t="s">
        <v>40</v>
      </c>
      <c r="K70" s="180" t="str">
        <f>HLOOKUP(Language!$C$3,Language!$E$1:$Z516,19,FALSE)</f>
        <v>Four 1 Gbps LC-type connector single mode fiber 1000BASE-ZX Ethernet for up to 80 km</v>
      </c>
      <c r="L70" s="180" t="s">
        <v>42</v>
      </c>
      <c r="M70" s="180"/>
      <c r="N70" s="180" t="s">
        <v>40</v>
      </c>
      <c r="O70" s="180" t="str">
        <f>HLOOKUP(Language!$C$3,Language!$E$1:$Z516,19,FALSE)</f>
        <v>Four 1 Gbps LC-type connector single mode fiber 1000BASE-ZX Ethernet for up to 80 km</v>
      </c>
      <c r="P70" s="180" t="s">
        <v>42</v>
      </c>
      <c r="Q70" s="180"/>
      <c r="R70" s="180" t="s">
        <v>40</v>
      </c>
      <c r="S70" s="180" t="str">
        <f>HLOOKUP(Language!$C$3,Language!$E$1:$Z516,19,FALSE)</f>
        <v>Four 1 Gbps LC-type connector single mode fiber 1000BASE-ZX Ethernet for up to 80 km</v>
      </c>
      <c r="T70" s="180" t="s">
        <v>42</v>
      </c>
      <c r="U70" s="180"/>
      <c r="V70" s="180" t="s">
        <v>40</v>
      </c>
      <c r="W70" s="262" t="str">
        <f>HLOOKUP(Language!$C$3,Language!$E$1:$Z516,19,FALSE)</f>
        <v>Four 1 Gbps LC-type connector single mode fiber 1000BASE-ZX Ethernet for up to 80 km</v>
      </c>
      <c r="X70" s="262" t="s">
        <v>42</v>
      </c>
      <c r="Y70" s="262"/>
      <c r="Z70" s="262" t="s">
        <v>40</v>
      </c>
      <c r="AA70" s="262" t="str">
        <f>HLOOKUP(Language!$C$3,Language!$E$1:$Z516,19,FALSE)</f>
        <v>Four 1 Gbps LC-type connector single mode fiber 1000BASE-ZX Ethernet for up to 80 km</v>
      </c>
      <c r="AB70" s="262" t="s">
        <v>42</v>
      </c>
      <c r="AC70" s="262"/>
      <c r="AD70" s="262" t="s">
        <v>40</v>
      </c>
    </row>
    <row r="71" spans="1:30">
      <c r="A71" s="179"/>
      <c r="B71" s="17"/>
      <c r="C71" s="180" t="str">
        <f>HLOOKUP(Language!$C$3,Language!$E$1:$Z517,20,FALSE)</f>
        <v>Four 100 Mbps LC-type connector multi mode fiber 100BASE-FX Ethernet for up to 2 km</v>
      </c>
      <c r="D71" s="180" t="s">
        <v>43</v>
      </c>
      <c r="E71" s="180"/>
      <c r="F71" s="180" t="s">
        <v>40</v>
      </c>
      <c r="G71" s="180" t="str">
        <f>HLOOKUP(Language!$C$3,Language!$E$1:$Z517,20,FALSE)</f>
        <v>Four 100 Mbps LC-type connector multi mode fiber 100BASE-FX Ethernet for up to 2 km</v>
      </c>
      <c r="H71" s="180" t="s">
        <v>43</v>
      </c>
      <c r="I71" s="180"/>
      <c r="J71" s="180" t="s">
        <v>40</v>
      </c>
      <c r="K71" s="180" t="str">
        <f>HLOOKUP(Language!$C$3,Language!$E$1:$Z517,20,FALSE)</f>
        <v>Four 100 Mbps LC-type connector multi mode fiber 100BASE-FX Ethernet for up to 2 km</v>
      </c>
      <c r="L71" s="180" t="s">
        <v>43</v>
      </c>
      <c r="M71" s="180"/>
      <c r="N71" s="180" t="s">
        <v>40</v>
      </c>
      <c r="O71" s="180" t="str">
        <f>HLOOKUP(Language!$C$3,Language!$E$1:$Z517,20,FALSE)</f>
        <v>Four 100 Mbps LC-type connector multi mode fiber 100BASE-FX Ethernet for up to 2 km</v>
      </c>
      <c r="P71" s="180" t="s">
        <v>43</v>
      </c>
      <c r="Q71" s="180"/>
      <c r="R71" s="180" t="s">
        <v>40</v>
      </c>
      <c r="S71" s="180" t="str">
        <f>HLOOKUP(Language!$C$3,Language!$E$1:$Z517,20,FALSE)</f>
        <v>Four 100 Mbps LC-type connector multi mode fiber 100BASE-FX Ethernet for up to 2 km</v>
      </c>
      <c r="T71" s="180" t="s">
        <v>43</v>
      </c>
      <c r="U71" s="180"/>
      <c r="V71" s="180" t="s">
        <v>40</v>
      </c>
      <c r="W71" s="262" t="str">
        <f>HLOOKUP(Language!$C$3,Language!$E$1:$Z517,20,FALSE)</f>
        <v>Four 100 Mbps LC-type connector multi mode fiber 100BASE-FX Ethernet for up to 2 km</v>
      </c>
      <c r="X71" s="262" t="s">
        <v>43</v>
      </c>
      <c r="Y71" s="262"/>
      <c r="Z71" s="262" t="s">
        <v>40</v>
      </c>
      <c r="AA71" s="262" t="str">
        <f>HLOOKUP(Language!$C$3,Language!$E$1:$Z517,20,FALSE)</f>
        <v>Four 100 Mbps LC-type connector multi mode fiber 100BASE-FX Ethernet for up to 2 km</v>
      </c>
      <c r="AB71" s="262" t="s">
        <v>43</v>
      </c>
      <c r="AC71" s="262"/>
      <c r="AD71" s="262" t="s">
        <v>40</v>
      </c>
    </row>
    <row r="72" spans="1:30">
      <c r="A72" s="179"/>
      <c r="B72" s="17"/>
      <c r="C72" s="180" t="str">
        <f>HLOOKUP(Language!$C$3,Language!$E$1:$Z548,21,FALSE)</f>
        <v>Four RJ45 copper 10/100BASE-TX</v>
      </c>
      <c r="D72" s="180" t="s">
        <v>120</v>
      </c>
      <c r="E72" s="180"/>
      <c r="F72" s="180" t="s">
        <v>40</v>
      </c>
      <c r="G72" s="180" t="str">
        <f>HLOOKUP(Language!$C$3,Language!$E$1:$Z498,22,FALSE)</f>
        <v>Not installed</v>
      </c>
      <c r="H72" s="180" t="s">
        <v>28</v>
      </c>
      <c r="I72" s="180"/>
      <c r="J72" s="180" t="s">
        <v>40</v>
      </c>
      <c r="K72" s="180" t="str">
        <f>HLOOKUP(Language!$C$3,Language!$E$1:$Z548,21,FALSE)</f>
        <v>Four RJ45 copper 10/100BASE-TX</v>
      </c>
      <c r="L72" s="180" t="s">
        <v>120</v>
      </c>
      <c r="M72" s="180"/>
      <c r="N72" s="180" t="s">
        <v>40</v>
      </c>
      <c r="O72" s="180" t="str">
        <f>HLOOKUP(Language!$C$3,Language!$E$1:$Z548,21,FALSE)</f>
        <v>Four RJ45 copper 10/100BASE-TX</v>
      </c>
      <c r="P72" s="180" t="s">
        <v>120</v>
      </c>
      <c r="Q72" s="180"/>
      <c r="R72" s="180" t="s">
        <v>40</v>
      </c>
      <c r="S72" s="180" t="str">
        <f>HLOOKUP(Language!$C$3,Language!$E$1:$Z548,21,FALSE)</f>
        <v>Four RJ45 copper 10/100BASE-TX</v>
      </c>
      <c r="T72" s="180" t="s">
        <v>120</v>
      </c>
      <c r="U72" s="180"/>
      <c r="V72" s="180" t="s">
        <v>40</v>
      </c>
      <c r="W72" s="262" t="str">
        <f>HLOOKUP(Language!$C$3,Language!$E$1:$Z548,21,FALSE)</f>
        <v>Four RJ45 copper 10/100BASE-TX</v>
      </c>
      <c r="X72" s="262" t="s">
        <v>120</v>
      </c>
      <c r="Y72" s="262"/>
      <c r="Z72" s="262" t="s">
        <v>40</v>
      </c>
      <c r="AA72" s="262" t="str">
        <f>HLOOKUP(Language!$C$3,Language!$E$1:$Z548,21,FALSE)</f>
        <v>Four RJ45 copper 10/100BASE-TX</v>
      </c>
      <c r="AB72" s="262" t="s">
        <v>120</v>
      </c>
      <c r="AC72" s="262"/>
      <c r="AD72" s="262" t="s">
        <v>40</v>
      </c>
    </row>
    <row r="73" spans="1:30">
      <c r="A73" s="179"/>
      <c r="B73" s="17"/>
      <c r="C73" s="192" t="str">
        <f>HLOOKUP(Language!$C$3,Language!$E$1:$Z539,49,FALSE)</f>
        <v>Four 1 Gbps RJ45 SFP Transceivers 10/100BASE-TX/1000BASE-T Ethernet ports (Not CE marked)</v>
      </c>
      <c r="D73" s="180" t="s">
        <v>114</v>
      </c>
      <c r="E73" s="180"/>
      <c r="F73" s="180" t="s">
        <v>40</v>
      </c>
      <c r="G73" s="192"/>
      <c r="H73" s="180"/>
      <c r="I73" s="180"/>
      <c r="J73" s="180"/>
      <c r="K73" s="192" t="str">
        <f>HLOOKUP(Language!$C$3,Language!$E$1:$Z539,49,FALSE)</f>
        <v>Four 1 Gbps RJ45 SFP Transceivers 10/100BASE-TX/1000BASE-T Ethernet ports (Not CE marked)</v>
      </c>
      <c r="L73" s="180" t="s">
        <v>114</v>
      </c>
      <c r="M73" s="180"/>
      <c r="N73" s="180" t="s">
        <v>40</v>
      </c>
      <c r="O73" s="192" t="str">
        <f>HLOOKUP(Language!$C$3,Language!$E$1:$Z539,49,FALSE)</f>
        <v>Four 1 Gbps RJ45 SFP Transceivers 10/100BASE-TX/1000BASE-T Ethernet ports (Not CE marked)</v>
      </c>
      <c r="P73" s="180" t="s">
        <v>114</v>
      </c>
      <c r="Q73" s="180"/>
      <c r="R73" s="180" t="s">
        <v>40</v>
      </c>
      <c r="S73" s="192" t="str">
        <f>HLOOKUP(Language!$C$3,Language!$E$1:$Z539,49,FALSE)</f>
        <v>Four 1 Gbps RJ45 SFP Transceivers 10/100BASE-TX/1000BASE-T Ethernet ports (Not CE marked)</v>
      </c>
      <c r="T73" s="180" t="s">
        <v>114</v>
      </c>
      <c r="U73" s="180"/>
      <c r="V73" s="180" t="s">
        <v>40</v>
      </c>
      <c r="W73" s="192" t="str">
        <f>HLOOKUP(Language!$C$3,Language!$E$1:$Z539,49,FALSE)</f>
        <v>Four 1 Gbps RJ45 SFP Transceivers 10/100BASE-TX/1000BASE-T Ethernet ports (Not CE marked)</v>
      </c>
      <c r="X73" s="262" t="s">
        <v>114</v>
      </c>
      <c r="Y73" s="262"/>
      <c r="Z73" s="262" t="s">
        <v>40</v>
      </c>
      <c r="AA73" s="262" t="str">
        <f>HLOOKUP(Language!$C$3,Language!$E$1:$Z510,22,FALSE)</f>
        <v>Not installed</v>
      </c>
      <c r="AB73" s="262" t="s">
        <v>28</v>
      </c>
      <c r="AC73" s="262"/>
      <c r="AD73" s="262" t="s">
        <v>40</v>
      </c>
    </row>
    <row r="74" spans="1:30" ht="24">
      <c r="A74" s="179"/>
      <c r="B74" s="17"/>
      <c r="C74" s="180" t="str">
        <f>HLOOKUP(Language!$C$3,Language!$E$1:$Z498,22,FALSE)</f>
        <v>Not installed</v>
      </c>
      <c r="D74" s="180" t="s">
        <v>28</v>
      </c>
      <c r="E74" s="180"/>
      <c r="F74" s="180" t="s">
        <v>40</v>
      </c>
      <c r="G74" s="15"/>
      <c r="H74" s="15"/>
      <c r="I74" s="180"/>
      <c r="J74" s="180"/>
      <c r="K74" s="180" t="str">
        <f>HLOOKUP(Language!$C$3,Language!$E$1:$Z498,22,FALSE)</f>
        <v>Not installed</v>
      </c>
      <c r="L74" s="180" t="s">
        <v>28</v>
      </c>
      <c r="M74" s="180"/>
      <c r="N74" s="180" t="s">
        <v>40</v>
      </c>
      <c r="O74" s="180" t="str">
        <f>HLOOKUP(Language!$C$3,Language!$E$1:$Z498,22,FALSE)</f>
        <v>Not installed</v>
      </c>
      <c r="P74" s="180" t="s">
        <v>28</v>
      </c>
      <c r="Q74" s="180"/>
      <c r="R74" s="180" t="s">
        <v>40</v>
      </c>
      <c r="S74" s="180" t="str">
        <f>HLOOKUP(Language!$C$3,Language!$E$1:$Z498,22,FALSE)</f>
        <v>Not installed</v>
      </c>
      <c r="T74" s="180" t="s">
        <v>28</v>
      </c>
      <c r="U74" s="180"/>
      <c r="V74" s="180" t="s">
        <v>40</v>
      </c>
      <c r="W74" s="262" t="str">
        <f>HLOOKUP(Language!$C$3,Language!$E$1:$Z498,22,FALSE)</f>
        <v>Not installed</v>
      </c>
      <c r="X74" s="262" t="s">
        <v>28</v>
      </c>
      <c r="Y74" s="262"/>
      <c r="Z74" s="262" t="s">
        <v>40</v>
      </c>
      <c r="AA74" s="192" t="str">
        <f>HLOOKUP(Language!$C$3,Language!$E$1:$Z549,70,FALSE)</f>
        <v>Four 1 Gbps RJ45 SFP Transceivers 10/100BASE-TX/1000BASE-T Ethernet ports (Not CE marked) (Withdraw)</v>
      </c>
      <c r="AB74" s="262" t="s">
        <v>114</v>
      </c>
      <c r="AC74" s="262"/>
      <c r="AD74" s="262" t="s">
        <v>40</v>
      </c>
    </row>
    <row r="75" spans="1:30">
      <c r="A75" s="181"/>
      <c r="B75" s="23"/>
      <c r="C75" s="182"/>
      <c r="D75" s="182"/>
      <c r="E75" s="182"/>
      <c r="F75" s="182"/>
      <c r="G75" s="182"/>
      <c r="H75" s="182"/>
      <c r="I75" s="182"/>
      <c r="J75" s="182"/>
      <c r="K75" s="182"/>
      <c r="L75" s="182"/>
      <c r="M75" s="182"/>
      <c r="N75" s="182"/>
      <c r="O75" s="182"/>
      <c r="P75" s="182"/>
      <c r="Q75" s="182"/>
      <c r="R75" s="182"/>
      <c r="S75" s="182"/>
      <c r="T75" s="182"/>
      <c r="U75" s="182"/>
      <c r="V75" s="182"/>
      <c r="W75" s="263"/>
      <c r="X75" s="263"/>
      <c r="Y75" s="263"/>
      <c r="Z75" s="263"/>
      <c r="AA75" s="263"/>
      <c r="AB75" s="263"/>
      <c r="AC75" s="263"/>
      <c r="AD75" s="263"/>
    </row>
    <row r="76" spans="1:30">
      <c r="A76" s="177">
        <v>9</v>
      </c>
      <c r="B76" s="16" t="str">
        <f>HLOOKUP(Language!$C$3,Language!$E$1:$Z520,48,FALSE)</f>
        <v>Interface Module 6</v>
      </c>
      <c r="C76" s="178" t="str">
        <f>HLOOKUP(Language!$C$3,Language!$E$1:$Z522,14,FALSE)</f>
        <v>Four 1 Gbps RJ45 copper 10/100BASE-TX/1000BASE-T Ethernet ports</v>
      </c>
      <c r="D76" s="178" t="s">
        <v>26</v>
      </c>
      <c r="E76" s="178"/>
      <c r="F76" s="178" t="s">
        <v>40</v>
      </c>
      <c r="G76" s="178" t="str">
        <f>HLOOKUP(Language!$C$3,Language!$E$1:$Z522,14,FALSE)</f>
        <v>Four 1 Gbps RJ45 copper 10/100BASE-TX/1000BASE-T Ethernet ports</v>
      </c>
      <c r="H76" s="178" t="s">
        <v>26</v>
      </c>
      <c r="I76" s="178"/>
      <c r="J76" s="178" t="s">
        <v>40</v>
      </c>
      <c r="K76" s="178" t="str">
        <f>HLOOKUP(Language!$C$3,Language!$E$1:$Z522,14,FALSE)</f>
        <v>Four 1 Gbps RJ45 copper 10/100BASE-TX/1000BASE-T Ethernet ports</v>
      </c>
      <c r="L76" s="178" t="s">
        <v>26</v>
      </c>
      <c r="M76" s="178"/>
      <c r="N76" s="178" t="s">
        <v>40</v>
      </c>
      <c r="O76" s="178" t="str">
        <f>HLOOKUP(Language!$C$3,Language!$E$1:$Z522,14,FALSE)</f>
        <v>Four 1 Gbps RJ45 copper 10/100BASE-TX/1000BASE-T Ethernet ports</v>
      </c>
      <c r="P76" s="178" t="s">
        <v>26</v>
      </c>
      <c r="Q76" s="178"/>
      <c r="R76" s="178" t="s">
        <v>40</v>
      </c>
      <c r="S76" s="178" t="str">
        <f>HLOOKUP(Language!$C$3,Language!$E$1:$Z522,14,FALSE)</f>
        <v>Four 1 Gbps RJ45 copper 10/100BASE-TX/1000BASE-T Ethernet ports</v>
      </c>
      <c r="T76" s="178" t="s">
        <v>26</v>
      </c>
      <c r="U76" s="178"/>
      <c r="V76" s="178" t="s">
        <v>40</v>
      </c>
      <c r="W76" s="261" t="str">
        <f>HLOOKUP(Language!$C$3,Language!$E$1:$Z522,14,FALSE)</f>
        <v>Four 1 Gbps RJ45 copper 10/100BASE-TX/1000BASE-T Ethernet ports</v>
      </c>
      <c r="X76" s="261" t="s">
        <v>26</v>
      </c>
      <c r="Y76" s="261"/>
      <c r="Z76" s="261" t="s">
        <v>40</v>
      </c>
      <c r="AA76" s="261" t="str">
        <f>HLOOKUP(Language!$C$3,Language!$E$1:$Z522,14,FALSE)</f>
        <v>Four 1 Gbps RJ45 copper 10/100BASE-TX/1000BASE-T Ethernet ports</v>
      </c>
      <c r="AB76" s="261" t="s">
        <v>26</v>
      </c>
      <c r="AC76" s="261"/>
      <c r="AD76" s="261" t="s">
        <v>40</v>
      </c>
    </row>
    <row r="77" spans="1:30">
      <c r="A77" s="179"/>
      <c r="B77" s="17"/>
      <c r="C77" s="122" t="str">
        <f>HLOOKUP(Language!$C$3,Language!$E$1:$Z522,15,FALSE)</f>
        <v>Four slots for SFP transceivers</v>
      </c>
      <c r="D77" s="180" t="s">
        <v>27</v>
      </c>
      <c r="E77" s="122"/>
      <c r="F77" s="180" t="s">
        <v>40</v>
      </c>
      <c r="G77" s="122" t="str">
        <f>HLOOKUP(Language!$C$3,Language!$E$1:$Z522,15,FALSE)</f>
        <v>Four slots for SFP transceivers</v>
      </c>
      <c r="H77" s="180" t="s">
        <v>27</v>
      </c>
      <c r="I77" s="122"/>
      <c r="J77" s="180" t="s">
        <v>40</v>
      </c>
      <c r="K77" s="122" t="str">
        <f>HLOOKUP(Language!$C$3,Language!$E$1:$Z522,15,FALSE)</f>
        <v>Four slots for SFP transceivers</v>
      </c>
      <c r="L77" s="180" t="s">
        <v>27</v>
      </c>
      <c r="M77" s="122"/>
      <c r="N77" s="180" t="s">
        <v>40</v>
      </c>
      <c r="O77" s="122" t="str">
        <f>HLOOKUP(Language!$C$3,Language!$E$1:$Z522,15,FALSE)</f>
        <v>Four slots for SFP transceivers</v>
      </c>
      <c r="P77" s="180" t="s">
        <v>27</v>
      </c>
      <c r="Q77" s="122"/>
      <c r="R77" s="180" t="s">
        <v>40</v>
      </c>
      <c r="S77" s="122" t="str">
        <f>HLOOKUP(Language!$C$3,Language!$E$1:$Z522,15,FALSE)</f>
        <v>Four slots for SFP transceivers</v>
      </c>
      <c r="T77" s="180" t="s">
        <v>27</v>
      </c>
      <c r="U77" s="122"/>
      <c r="V77" s="180" t="s">
        <v>40</v>
      </c>
      <c r="W77" s="122" t="str">
        <f>HLOOKUP(Language!$C$3,Language!$E$1:$Z522,15,FALSE)</f>
        <v>Four slots for SFP transceivers</v>
      </c>
      <c r="X77" s="262" t="s">
        <v>27</v>
      </c>
      <c r="Y77" s="122"/>
      <c r="Z77" s="262" t="s">
        <v>40</v>
      </c>
      <c r="AA77" s="122" t="str">
        <f>HLOOKUP(Language!$C$3,Language!$E$1:$Z522,15,FALSE)</f>
        <v>Four slots for SFP transceivers</v>
      </c>
      <c r="AB77" s="262" t="s">
        <v>27</v>
      </c>
      <c r="AC77" s="122"/>
      <c r="AD77" s="262" t="s">
        <v>40</v>
      </c>
    </row>
    <row r="78" spans="1:30">
      <c r="A78" s="179"/>
      <c r="B78" s="17"/>
      <c r="C78" s="180" t="str">
        <f>HLOOKUP(Language!$C$3,Language!$E$1:$Z523,16,FALSE)</f>
        <v>Four 1 Gbps LC-type connector multi mode fiber 1000BASE-SX Ethernet for up to 0.5 km</v>
      </c>
      <c r="D78" s="180" t="s">
        <v>29</v>
      </c>
      <c r="E78" s="180"/>
      <c r="F78" s="180" t="s">
        <v>40</v>
      </c>
      <c r="G78" s="180" t="str">
        <f>HLOOKUP(Language!$C$3,Language!$E$1:$Z523,16,FALSE)</f>
        <v>Four 1 Gbps LC-type connector multi mode fiber 1000BASE-SX Ethernet for up to 0.5 km</v>
      </c>
      <c r="H78" s="180" t="s">
        <v>29</v>
      </c>
      <c r="I78" s="180"/>
      <c r="J78" s="180" t="s">
        <v>40</v>
      </c>
      <c r="K78" s="180" t="str">
        <f>HLOOKUP(Language!$C$3,Language!$E$1:$Z523,16,FALSE)</f>
        <v>Four 1 Gbps LC-type connector multi mode fiber 1000BASE-SX Ethernet for up to 0.5 km</v>
      </c>
      <c r="L78" s="180" t="s">
        <v>29</v>
      </c>
      <c r="M78" s="180"/>
      <c r="N78" s="180" t="s">
        <v>40</v>
      </c>
      <c r="O78" s="180" t="str">
        <f>HLOOKUP(Language!$C$3,Language!$E$1:$Z523,16,FALSE)</f>
        <v>Four 1 Gbps LC-type connector multi mode fiber 1000BASE-SX Ethernet for up to 0.5 km</v>
      </c>
      <c r="P78" s="180" t="s">
        <v>29</v>
      </c>
      <c r="Q78" s="180"/>
      <c r="R78" s="180" t="s">
        <v>40</v>
      </c>
      <c r="S78" s="180" t="str">
        <f>HLOOKUP(Language!$C$3,Language!$E$1:$Z523,16,FALSE)</f>
        <v>Four 1 Gbps LC-type connector multi mode fiber 1000BASE-SX Ethernet for up to 0.5 km</v>
      </c>
      <c r="T78" s="180" t="s">
        <v>29</v>
      </c>
      <c r="U78" s="180"/>
      <c r="V78" s="180" t="s">
        <v>40</v>
      </c>
      <c r="W78" s="262" t="str">
        <f>HLOOKUP(Language!$C$3,Language!$E$1:$Z523,16,FALSE)</f>
        <v>Four 1 Gbps LC-type connector multi mode fiber 1000BASE-SX Ethernet for up to 0.5 km</v>
      </c>
      <c r="X78" s="262" t="s">
        <v>29</v>
      </c>
      <c r="Y78" s="262"/>
      <c r="Z78" s="262" t="s">
        <v>40</v>
      </c>
      <c r="AA78" s="262" t="str">
        <f>HLOOKUP(Language!$C$3,Language!$E$1:$Z523,16,FALSE)</f>
        <v>Four 1 Gbps LC-type connector multi mode fiber 1000BASE-SX Ethernet for up to 0.5 km</v>
      </c>
      <c r="AB78" s="262" t="s">
        <v>29</v>
      </c>
      <c r="AC78" s="262"/>
      <c r="AD78" s="262" t="s">
        <v>40</v>
      </c>
    </row>
    <row r="79" spans="1:30">
      <c r="A79" s="179"/>
      <c r="B79" s="17"/>
      <c r="C79" s="180" t="str">
        <f>HLOOKUP(Language!$C$3,Language!$E$1:$Z524,17,FALSE)</f>
        <v>Four 1 Gbps LC-type connector single mode fiber 1000BASE-LX Ethernet for up to 10 km</v>
      </c>
      <c r="D79" s="180" t="s">
        <v>30</v>
      </c>
      <c r="E79" s="180"/>
      <c r="F79" s="180" t="s">
        <v>40</v>
      </c>
      <c r="G79" s="180" t="str">
        <f>HLOOKUP(Language!$C$3,Language!$E$1:$Z524,17,FALSE)</f>
        <v>Four 1 Gbps LC-type connector single mode fiber 1000BASE-LX Ethernet for up to 10 km</v>
      </c>
      <c r="H79" s="180" t="s">
        <v>30</v>
      </c>
      <c r="I79" s="180"/>
      <c r="J79" s="180" t="s">
        <v>40</v>
      </c>
      <c r="K79" s="180" t="str">
        <f>HLOOKUP(Language!$C$3,Language!$E$1:$Z524,17,FALSE)</f>
        <v>Four 1 Gbps LC-type connector single mode fiber 1000BASE-LX Ethernet for up to 10 km</v>
      </c>
      <c r="L79" s="180" t="s">
        <v>30</v>
      </c>
      <c r="M79" s="180"/>
      <c r="N79" s="180" t="s">
        <v>40</v>
      </c>
      <c r="O79" s="180" t="str">
        <f>HLOOKUP(Language!$C$3,Language!$E$1:$Z524,17,FALSE)</f>
        <v>Four 1 Gbps LC-type connector single mode fiber 1000BASE-LX Ethernet for up to 10 km</v>
      </c>
      <c r="P79" s="180" t="s">
        <v>30</v>
      </c>
      <c r="Q79" s="180"/>
      <c r="R79" s="180" t="s">
        <v>40</v>
      </c>
      <c r="S79" s="180" t="str">
        <f>HLOOKUP(Language!$C$3,Language!$E$1:$Z524,17,FALSE)</f>
        <v>Four 1 Gbps LC-type connector single mode fiber 1000BASE-LX Ethernet for up to 10 km</v>
      </c>
      <c r="T79" s="180" t="s">
        <v>30</v>
      </c>
      <c r="U79" s="180"/>
      <c r="V79" s="180" t="s">
        <v>40</v>
      </c>
      <c r="W79" s="262" t="str">
        <f>HLOOKUP(Language!$C$3,Language!$E$1:$Z524,17,FALSE)</f>
        <v>Four 1 Gbps LC-type connector single mode fiber 1000BASE-LX Ethernet for up to 10 km</v>
      </c>
      <c r="X79" s="262" t="s">
        <v>30</v>
      </c>
      <c r="Y79" s="262"/>
      <c r="Z79" s="262" t="s">
        <v>40</v>
      </c>
      <c r="AA79" s="262" t="str">
        <f>HLOOKUP(Language!$C$3,Language!$E$1:$Z524,17,FALSE)</f>
        <v>Four 1 Gbps LC-type connector single mode fiber 1000BASE-LX Ethernet for up to 10 km</v>
      </c>
      <c r="AB79" s="262" t="s">
        <v>30</v>
      </c>
      <c r="AC79" s="262"/>
      <c r="AD79" s="262" t="s">
        <v>40</v>
      </c>
    </row>
    <row r="80" spans="1:30">
      <c r="A80" s="179"/>
      <c r="B80" s="17"/>
      <c r="C80" s="180" t="str">
        <f>HLOOKUP(Language!$C$3,Language!$E$1:$Z525,18,FALSE)</f>
        <v>Four 1 Gbps LC-type connector single mode fiber 1000BASE-ZX Ethernet for up to 40 km</v>
      </c>
      <c r="D80" s="180" t="s">
        <v>41</v>
      </c>
      <c r="E80" s="180"/>
      <c r="F80" s="180" t="s">
        <v>40</v>
      </c>
      <c r="G80" s="180" t="str">
        <f>HLOOKUP(Language!$C$3,Language!$E$1:$Z525,18,FALSE)</f>
        <v>Four 1 Gbps LC-type connector single mode fiber 1000BASE-ZX Ethernet for up to 40 km</v>
      </c>
      <c r="H80" s="180" t="s">
        <v>41</v>
      </c>
      <c r="I80" s="180"/>
      <c r="J80" s="180" t="s">
        <v>40</v>
      </c>
      <c r="K80" s="180" t="str">
        <f>HLOOKUP(Language!$C$3,Language!$E$1:$Z525,18,FALSE)</f>
        <v>Four 1 Gbps LC-type connector single mode fiber 1000BASE-ZX Ethernet for up to 40 km</v>
      </c>
      <c r="L80" s="180" t="s">
        <v>41</v>
      </c>
      <c r="M80" s="180"/>
      <c r="N80" s="180" t="s">
        <v>40</v>
      </c>
      <c r="O80" s="180" t="str">
        <f>HLOOKUP(Language!$C$3,Language!$E$1:$Z525,18,FALSE)</f>
        <v>Four 1 Gbps LC-type connector single mode fiber 1000BASE-ZX Ethernet for up to 40 km</v>
      </c>
      <c r="P80" s="180" t="s">
        <v>41</v>
      </c>
      <c r="Q80" s="180"/>
      <c r="R80" s="180" t="s">
        <v>40</v>
      </c>
      <c r="S80" s="180" t="str">
        <f>HLOOKUP(Language!$C$3,Language!$E$1:$Z525,18,FALSE)</f>
        <v>Four 1 Gbps LC-type connector single mode fiber 1000BASE-ZX Ethernet for up to 40 km</v>
      </c>
      <c r="T80" s="180" t="s">
        <v>41</v>
      </c>
      <c r="U80" s="180"/>
      <c r="V80" s="180" t="s">
        <v>40</v>
      </c>
      <c r="W80" s="262" t="str">
        <f>HLOOKUP(Language!$C$3,Language!$E$1:$Z525,18,FALSE)</f>
        <v>Four 1 Gbps LC-type connector single mode fiber 1000BASE-ZX Ethernet for up to 40 km</v>
      </c>
      <c r="X80" s="262" t="s">
        <v>41</v>
      </c>
      <c r="Y80" s="262"/>
      <c r="Z80" s="262" t="s">
        <v>40</v>
      </c>
      <c r="AA80" s="262" t="str">
        <f>HLOOKUP(Language!$C$3,Language!$E$1:$Z525,18,FALSE)</f>
        <v>Four 1 Gbps LC-type connector single mode fiber 1000BASE-ZX Ethernet for up to 40 km</v>
      </c>
      <c r="AB80" s="262" t="s">
        <v>41</v>
      </c>
      <c r="AC80" s="262"/>
      <c r="AD80" s="262" t="s">
        <v>40</v>
      </c>
    </row>
    <row r="81" spans="1:30">
      <c r="A81" s="179"/>
      <c r="B81" s="17"/>
      <c r="C81" s="180" t="str">
        <f>HLOOKUP(Language!$C$3,Language!$E$1:$Z526,19,FALSE)</f>
        <v>Four 1 Gbps LC-type connector single mode fiber 1000BASE-ZX Ethernet for up to 80 km</v>
      </c>
      <c r="D81" s="180" t="s">
        <v>42</v>
      </c>
      <c r="E81" s="180"/>
      <c r="F81" s="180" t="s">
        <v>40</v>
      </c>
      <c r="G81" s="180" t="str">
        <f>HLOOKUP(Language!$C$3,Language!$E$1:$Z526,19,FALSE)</f>
        <v>Four 1 Gbps LC-type connector single mode fiber 1000BASE-ZX Ethernet for up to 80 km</v>
      </c>
      <c r="H81" s="180" t="s">
        <v>42</v>
      </c>
      <c r="I81" s="180"/>
      <c r="J81" s="180" t="s">
        <v>40</v>
      </c>
      <c r="K81" s="180" t="str">
        <f>HLOOKUP(Language!$C$3,Language!$E$1:$Z526,19,FALSE)</f>
        <v>Four 1 Gbps LC-type connector single mode fiber 1000BASE-ZX Ethernet for up to 80 km</v>
      </c>
      <c r="L81" s="180" t="s">
        <v>42</v>
      </c>
      <c r="M81" s="180"/>
      <c r="N81" s="180" t="s">
        <v>40</v>
      </c>
      <c r="O81" s="180" t="str">
        <f>HLOOKUP(Language!$C$3,Language!$E$1:$Z526,19,FALSE)</f>
        <v>Four 1 Gbps LC-type connector single mode fiber 1000BASE-ZX Ethernet for up to 80 km</v>
      </c>
      <c r="P81" s="180" t="s">
        <v>42</v>
      </c>
      <c r="Q81" s="180"/>
      <c r="R81" s="180" t="s">
        <v>40</v>
      </c>
      <c r="S81" s="180" t="str">
        <f>HLOOKUP(Language!$C$3,Language!$E$1:$Z526,19,FALSE)</f>
        <v>Four 1 Gbps LC-type connector single mode fiber 1000BASE-ZX Ethernet for up to 80 km</v>
      </c>
      <c r="T81" s="180" t="s">
        <v>42</v>
      </c>
      <c r="U81" s="180"/>
      <c r="V81" s="180" t="s">
        <v>40</v>
      </c>
      <c r="W81" s="262" t="str">
        <f>HLOOKUP(Language!$C$3,Language!$E$1:$Z526,19,FALSE)</f>
        <v>Four 1 Gbps LC-type connector single mode fiber 1000BASE-ZX Ethernet for up to 80 km</v>
      </c>
      <c r="X81" s="262" t="s">
        <v>42</v>
      </c>
      <c r="Y81" s="262"/>
      <c r="Z81" s="262" t="s">
        <v>40</v>
      </c>
      <c r="AA81" s="262" t="str">
        <f>HLOOKUP(Language!$C$3,Language!$E$1:$Z526,19,FALSE)</f>
        <v>Four 1 Gbps LC-type connector single mode fiber 1000BASE-ZX Ethernet for up to 80 km</v>
      </c>
      <c r="AB81" s="262" t="s">
        <v>42</v>
      </c>
      <c r="AC81" s="262"/>
      <c r="AD81" s="262" t="s">
        <v>40</v>
      </c>
    </row>
    <row r="82" spans="1:30">
      <c r="A82" s="179"/>
      <c r="B82" s="17"/>
      <c r="C82" s="180" t="str">
        <f>HLOOKUP(Language!$C$3,Language!$E$1:$Z527,20,FALSE)</f>
        <v>Four 100 Mbps LC-type connector multi mode fiber 100BASE-FX Ethernet for up to 2 km</v>
      </c>
      <c r="D82" s="180" t="s">
        <v>43</v>
      </c>
      <c r="E82" s="180"/>
      <c r="F82" s="180" t="s">
        <v>40</v>
      </c>
      <c r="G82" s="180" t="str">
        <f>HLOOKUP(Language!$C$3,Language!$E$1:$Z527,20,FALSE)</f>
        <v>Four 100 Mbps LC-type connector multi mode fiber 100BASE-FX Ethernet for up to 2 km</v>
      </c>
      <c r="H82" s="180" t="s">
        <v>43</v>
      </c>
      <c r="I82" s="180"/>
      <c r="J82" s="180" t="s">
        <v>40</v>
      </c>
      <c r="K82" s="180" t="str">
        <f>HLOOKUP(Language!$C$3,Language!$E$1:$Z527,20,FALSE)</f>
        <v>Four 100 Mbps LC-type connector multi mode fiber 100BASE-FX Ethernet for up to 2 km</v>
      </c>
      <c r="L82" s="180" t="s">
        <v>43</v>
      </c>
      <c r="M82" s="180"/>
      <c r="N82" s="180" t="s">
        <v>40</v>
      </c>
      <c r="O82" s="180" t="str">
        <f>HLOOKUP(Language!$C$3,Language!$E$1:$Z527,20,FALSE)</f>
        <v>Four 100 Mbps LC-type connector multi mode fiber 100BASE-FX Ethernet for up to 2 km</v>
      </c>
      <c r="P82" s="180" t="s">
        <v>43</v>
      </c>
      <c r="Q82" s="180"/>
      <c r="R82" s="180" t="s">
        <v>40</v>
      </c>
      <c r="S82" s="180" t="str">
        <f>HLOOKUP(Language!$C$3,Language!$E$1:$Z527,20,FALSE)</f>
        <v>Four 100 Mbps LC-type connector multi mode fiber 100BASE-FX Ethernet for up to 2 km</v>
      </c>
      <c r="T82" s="180" t="s">
        <v>43</v>
      </c>
      <c r="U82" s="180"/>
      <c r="V82" s="180" t="s">
        <v>40</v>
      </c>
      <c r="W82" s="262" t="str">
        <f>HLOOKUP(Language!$C$3,Language!$E$1:$Z527,20,FALSE)</f>
        <v>Four 100 Mbps LC-type connector multi mode fiber 100BASE-FX Ethernet for up to 2 km</v>
      </c>
      <c r="X82" s="262" t="s">
        <v>43</v>
      </c>
      <c r="Y82" s="262"/>
      <c r="Z82" s="262" t="s">
        <v>40</v>
      </c>
      <c r="AA82" s="262" t="str">
        <f>HLOOKUP(Language!$C$3,Language!$E$1:$Z527,20,FALSE)</f>
        <v>Four 100 Mbps LC-type connector multi mode fiber 100BASE-FX Ethernet for up to 2 km</v>
      </c>
      <c r="AB82" s="262" t="s">
        <v>43</v>
      </c>
      <c r="AC82" s="262"/>
      <c r="AD82" s="262" t="s">
        <v>40</v>
      </c>
    </row>
    <row r="83" spans="1:30">
      <c r="A83" s="179"/>
      <c r="B83" s="17"/>
      <c r="C83" s="180" t="str">
        <f>HLOOKUP(Language!$C$3,Language!$E$1:$Z559,21,FALSE)</f>
        <v>Four RJ45 copper 10/100BASE-TX</v>
      </c>
      <c r="D83" s="180" t="s">
        <v>120</v>
      </c>
      <c r="E83" s="180"/>
      <c r="F83" s="180" t="s">
        <v>40</v>
      </c>
      <c r="G83" s="180" t="str">
        <f>HLOOKUP(Language!$C$3,Language!$E$1:$Z508,22,FALSE)</f>
        <v>Not installed</v>
      </c>
      <c r="H83" s="180" t="s">
        <v>28</v>
      </c>
      <c r="I83" s="180"/>
      <c r="J83" s="180" t="s">
        <v>40</v>
      </c>
      <c r="K83" s="180" t="str">
        <f>HLOOKUP(Language!$C$3,Language!$E$1:$Z559,21,FALSE)</f>
        <v>Four RJ45 copper 10/100BASE-TX</v>
      </c>
      <c r="L83" s="180" t="s">
        <v>120</v>
      </c>
      <c r="M83" s="180"/>
      <c r="N83" s="180" t="s">
        <v>40</v>
      </c>
      <c r="O83" s="180" t="str">
        <f>HLOOKUP(Language!$C$3,Language!$E$1:$Z559,21,FALSE)</f>
        <v>Four RJ45 copper 10/100BASE-TX</v>
      </c>
      <c r="P83" s="180" t="s">
        <v>120</v>
      </c>
      <c r="Q83" s="180"/>
      <c r="R83" s="180" t="s">
        <v>40</v>
      </c>
      <c r="S83" s="180" t="str">
        <f>HLOOKUP(Language!$C$3,Language!$E$1:$Z559,21,FALSE)</f>
        <v>Four RJ45 copper 10/100BASE-TX</v>
      </c>
      <c r="T83" s="180" t="s">
        <v>120</v>
      </c>
      <c r="U83" s="180"/>
      <c r="V83" s="180" t="s">
        <v>40</v>
      </c>
      <c r="W83" s="262" t="str">
        <f>HLOOKUP(Language!$C$3,Language!$E$1:$Z559,21,FALSE)</f>
        <v>Four RJ45 copper 10/100BASE-TX</v>
      </c>
      <c r="X83" s="262" t="s">
        <v>120</v>
      </c>
      <c r="Y83" s="262"/>
      <c r="Z83" s="262" t="s">
        <v>40</v>
      </c>
      <c r="AA83" s="262" t="str">
        <f>HLOOKUP(Language!$C$3,Language!$E$1:$Z559,21,FALSE)</f>
        <v>Four RJ45 copper 10/100BASE-TX</v>
      </c>
      <c r="AB83" s="262" t="s">
        <v>120</v>
      </c>
      <c r="AC83" s="262"/>
      <c r="AD83" s="262" t="s">
        <v>40</v>
      </c>
    </row>
    <row r="84" spans="1:30">
      <c r="A84" s="179"/>
      <c r="B84" s="17"/>
      <c r="C84" s="192" t="str">
        <f>HLOOKUP(Language!$C$3,Language!$E$1:$Z549,49,FALSE)</f>
        <v>Four 1 Gbps RJ45 SFP Transceivers 10/100BASE-TX/1000BASE-T Ethernet ports (Not CE marked)</v>
      </c>
      <c r="D84" s="180" t="s">
        <v>114</v>
      </c>
      <c r="E84" s="180"/>
      <c r="F84" s="180" t="s">
        <v>40</v>
      </c>
      <c r="G84" s="192"/>
      <c r="H84" s="180"/>
      <c r="I84" s="180"/>
      <c r="J84" s="180"/>
      <c r="K84" s="192" t="str">
        <f>HLOOKUP(Language!$C$3,Language!$E$1:$Z549,49,FALSE)</f>
        <v>Four 1 Gbps RJ45 SFP Transceivers 10/100BASE-TX/1000BASE-T Ethernet ports (Not CE marked)</v>
      </c>
      <c r="L84" s="180" t="s">
        <v>114</v>
      </c>
      <c r="M84" s="180"/>
      <c r="N84" s="180" t="s">
        <v>40</v>
      </c>
      <c r="O84" s="192" t="str">
        <f>HLOOKUP(Language!$C$3,Language!$E$1:$Z549,49,FALSE)</f>
        <v>Four 1 Gbps RJ45 SFP Transceivers 10/100BASE-TX/1000BASE-T Ethernet ports (Not CE marked)</v>
      </c>
      <c r="P84" s="180" t="s">
        <v>114</v>
      </c>
      <c r="Q84" s="180"/>
      <c r="R84" s="180" t="s">
        <v>40</v>
      </c>
      <c r="S84" s="192" t="str">
        <f>HLOOKUP(Language!$C$3,Language!$E$1:$Z549,49,FALSE)</f>
        <v>Four 1 Gbps RJ45 SFP Transceivers 10/100BASE-TX/1000BASE-T Ethernet ports (Not CE marked)</v>
      </c>
      <c r="T84" s="180" t="s">
        <v>114</v>
      </c>
      <c r="U84" s="180"/>
      <c r="V84" s="180" t="s">
        <v>40</v>
      </c>
      <c r="W84" s="192" t="str">
        <f>HLOOKUP(Language!$C$3,Language!$E$1:$Z549,49,FALSE)</f>
        <v>Four 1 Gbps RJ45 SFP Transceivers 10/100BASE-TX/1000BASE-T Ethernet ports (Not CE marked)</v>
      </c>
      <c r="X84" s="262" t="s">
        <v>114</v>
      </c>
      <c r="Y84" s="262"/>
      <c r="Z84" s="262" t="s">
        <v>40</v>
      </c>
      <c r="AA84" s="262" t="str">
        <f>HLOOKUP(Language!$C$3,Language!$E$1:$Z521,22,FALSE)</f>
        <v>Not installed</v>
      </c>
      <c r="AB84" s="262" t="s">
        <v>28</v>
      </c>
      <c r="AC84" s="262"/>
      <c r="AD84" s="262" t="s">
        <v>40</v>
      </c>
    </row>
    <row r="85" spans="1:30" ht="24">
      <c r="A85" s="179"/>
      <c r="B85" s="17"/>
      <c r="C85" s="180" t="str">
        <f>HLOOKUP(Language!$C$3,Language!$E$1:$Z508,22,FALSE)</f>
        <v>Not installed</v>
      </c>
      <c r="D85" s="180" t="s">
        <v>28</v>
      </c>
      <c r="E85" s="180"/>
      <c r="F85" s="180" t="s">
        <v>40</v>
      </c>
      <c r="G85" s="15"/>
      <c r="H85" s="15"/>
      <c r="I85" s="180"/>
      <c r="J85" s="180"/>
      <c r="K85" s="180" t="str">
        <f>HLOOKUP(Language!$C$3,Language!$E$1:$Z508,22,FALSE)</f>
        <v>Not installed</v>
      </c>
      <c r="L85" s="180" t="s">
        <v>28</v>
      </c>
      <c r="M85" s="180"/>
      <c r="N85" s="180" t="s">
        <v>40</v>
      </c>
      <c r="O85" s="180" t="str">
        <f>HLOOKUP(Language!$C$3,Language!$E$1:$Z508,22,FALSE)</f>
        <v>Not installed</v>
      </c>
      <c r="P85" s="180" t="s">
        <v>28</v>
      </c>
      <c r="Q85" s="180"/>
      <c r="R85" s="180" t="s">
        <v>40</v>
      </c>
      <c r="S85" s="180" t="str">
        <f>HLOOKUP(Language!$C$3,Language!$E$1:$Z508,22,FALSE)</f>
        <v>Not installed</v>
      </c>
      <c r="T85" s="180" t="s">
        <v>28</v>
      </c>
      <c r="U85" s="180"/>
      <c r="V85" s="180" t="s">
        <v>40</v>
      </c>
      <c r="W85" s="262" t="str">
        <f>HLOOKUP(Language!$C$3,Language!$E$1:$Z508,22,FALSE)</f>
        <v>Not installed</v>
      </c>
      <c r="X85" s="262" t="s">
        <v>28</v>
      </c>
      <c r="Y85" s="262"/>
      <c r="Z85" s="262" t="s">
        <v>40</v>
      </c>
      <c r="AA85" s="192" t="str">
        <f>HLOOKUP(Language!$C$3,Language!$E$1:$Z560,70,FALSE)</f>
        <v>Four 1 Gbps RJ45 SFP Transceivers 10/100BASE-TX/1000BASE-T Ethernet ports (Not CE marked) (Withdraw)</v>
      </c>
      <c r="AB85" s="262" t="s">
        <v>114</v>
      </c>
      <c r="AC85" s="262"/>
      <c r="AD85" s="262" t="s">
        <v>40</v>
      </c>
    </row>
    <row r="86" spans="1:30">
      <c r="A86" s="181"/>
      <c r="B86" s="23"/>
      <c r="C86" s="182"/>
      <c r="D86" s="182"/>
      <c r="E86" s="182"/>
      <c r="F86" s="182"/>
      <c r="G86" s="182"/>
      <c r="H86" s="182"/>
      <c r="I86" s="182"/>
      <c r="J86" s="182"/>
      <c r="K86" s="182"/>
      <c r="L86" s="182"/>
      <c r="M86" s="182"/>
      <c r="N86" s="182"/>
      <c r="O86" s="182"/>
      <c r="P86" s="182"/>
      <c r="Q86" s="182"/>
      <c r="R86" s="182"/>
      <c r="S86" s="182"/>
      <c r="T86" s="182"/>
      <c r="U86" s="182"/>
      <c r="V86" s="182"/>
      <c r="W86" s="263"/>
      <c r="X86" s="263"/>
      <c r="Y86" s="263"/>
      <c r="Z86" s="263"/>
      <c r="AA86" s="263"/>
      <c r="AB86" s="263"/>
      <c r="AC86" s="263"/>
      <c r="AD86" s="263"/>
    </row>
    <row r="87" spans="1:30">
      <c r="A87" s="177">
        <v>10</v>
      </c>
      <c r="B87" s="16" t="str">
        <f>HLOOKUP(Language!$C$3,Language!$E$1:$Z553,26,FALSE)</f>
        <v>Firmware Version</v>
      </c>
      <c r="C87" s="178" t="str">
        <f>HLOOKUP(Language!$C$3,Language!$E$1:$Z555,27,FALSE)</f>
        <v>Latest available firmware</v>
      </c>
      <c r="D87" s="234" t="s">
        <v>121</v>
      </c>
      <c r="E87" s="178"/>
      <c r="F87" s="178" t="s">
        <v>40</v>
      </c>
      <c r="G87" s="178" t="str">
        <f>HLOOKUP(Language!$C$3,Language!$E$1:$Z555,27,FALSE)</f>
        <v>Latest available firmware</v>
      </c>
      <c r="H87" s="178" t="s">
        <v>31</v>
      </c>
      <c r="I87" s="178"/>
      <c r="J87" s="178" t="s">
        <v>40</v>
      </c>
      <c r="K87" s="178" t="str">
        <f>HLOOKUP(Language!$C$3,Language!$E$1:$Z555,27,FALSE)</f>
        <v>Latest available firmware</v>
      </c>
      <c r="L87" s="234" t="s">
        <v>121</v>
      </c>
      <c r="M87" s="178"/>
      <c r="N87" s="178" t="s">
        <v>40</v>
      </c>
      <c r="O87" s="178" t="str">
        <f>CONCATENATE(HLOOKUP(Language!$C$3,Language!$E$1:$Z555,27,FALSE)," - 05")</f>
        <v>Latest available firmware - 05</v>
      </c>
      <c r="P87" s="234" t="s">
        <v>140</v>
      </c>
      <c r="Q87" s="178"/>
      <c r="R87" s="178" t="s">
        <v>40</v>
      </c>
      <c r="S87" s="178" t="str">
        <f>CONCATENATE(HLOOKUP(Language!$C$3,Language!$E$1:$Z555,27,FALSE)," - 05")</f>
        <v>Latest available firmware - 05</v>
      </c>
      <c r="T87" s="234" t="s">
        <v>140</v>
      </c>
      <c r="U87" s="178"/>
      <c r="V87" s="178" t="s">
        <v>40</v>
      </c>
      <c r="W87" s="261" t="str">
        <f>CONCATENATE(HLOOKUP(Language!$C$3,Language!$E$1:$Z555,27,FALSE)," - 06")</f>
        <v>Latest available firmware - 06</v>
      </c>
      <c r="X87" s="264" t="s">
        <v>178</v>
      </c>
      <c r="Y87" s="261"/>
      <c r="Z87" s="261" t="s">
        <v>40</v>
      </c>
      <c r="AA87" s="261" t="str">
        <f>CONCATENATE(HLOOKUP(Language!$C$3,Language!$E$1:$Z555,27,FALSE)," - 06")</f>
        <v>Latest available firmware - 06</v>
      </c>
      <c r="AB87" s="264" t="s">
        <v>178</v>
      </c>
      <c r="AC87" s="261"/>
      <c r="AD87" s="261" t="s">
        <v>40</v>
      </c>
    </row>
    <row r="88" spans="1:30">
      <c r="A88" s="181"/>
      <c r="B88" s="23"/>
      <c r="C88" s="182"/>
      <c r="D88" s="182"/>
      <c r="E88" s="182"/>
      <c r="F88" s="182"/>
      <c r="G88" s="182"/>
      <c r="H88" s="182"/>
      <c r="I88" s="182"/>
      <c r="J88" s="182"/>
      <c r="K88" s="182"/>
      <c r="L88" s="182"/>
      <c r="M88" s="182"/>
      <c r="N88" s="182"/>
      <c r="O88" s="182" t="str">
        <f>CONCATENATE(HLOOKUP(Language!$C$3,Language!$E$1:$Z556,55,FALSE)," - 04")</f>
        <v>Firmware version number - 04</v>
      </c>
      <c r="P88" s="182" t="s">
        <v>121</v>
      </c>
      <c r="Q88" s="182"/>
      <c r="R88" s="182" t="s">
        <v>40</v>
      </c>
      <c r="S88" s="182"/>
      <c r="T88" s="182"/>
      <c r="U88" s="182"/>
      <c r="V88" s="182" t="s">
        <v>143</v>
      </c>
      <c r="W88" s="263" t="str">
        <f>CONCATENATE(HLOOKUP(Language!$C$3,Language!$E$1:$Z555,55,FALSE)," - 05")</f>
        <v>Firmware version number - 05</v>
      </c>
      <c r="X88" s="243" t="s">
        <v>140</v>
      </c>
      <c r="Y88" s="263"/>
      <c r="Z88" s="263" t="s">
        <v>40</v>
      </c>
      <c r="AA88" s="263" t="str">
        <f>CONCATENATE(HLOOKUP(Language!$C$3,Language!$E$1:$Z555,55,FALSE)," - 05")</f>
        <v>Firmware version number - 05</v>
      </c>
      <c r="AB88" s="243" t="s">
        <v>140</v>
      </c>
      <c r="AC88" s="263"/>
      <c r="AD88" s="263" t="s">
        <v>40</v>
      </c>
    </row>
    <row r="89" spans="1:30">
      <c r="A89" s="177">
        <v>11</v>
      </c>
      <c r="B89" s="16" t="str">
        <f>HLOOKUP(Language!$C$3,Language!$E$1:$Z555,28,FALSE)</f>
        <v>Hardware Design Suffix</v>
      </c>
      <c r="C89" s="178" t="str">
        <f>HLOOKUP(Language!$C$3,Language!$E$1:$Z557,29,FALSE)</f>
        <v>Standard hardware release</v>
      </c>
      <c r="D89" s="178" t="s">
        <v>26</v>
      </c>
      <c r="E89" s="178"/>
      <c r="F89" s="178" t="s">
        <v>40</v>
      </c>
      <c r="G89" s="178" t="str">
        <f>HLOOKUP(Language!$C$3,Language!$E$1:$Z557,29,FALSE)</f>
        <v>Standard hardware release</v>
      </c>
      <c r="H89" s="178" t="s">
        <v>26</v>
      </c>
      <c r="I89" s="178"/>
      <c r="J89" s="178" t="s">
        <v>40</v>
      </c>
      <c r="K89" s="178" t="str">
        <f>HLOOKUP(Language!$C$3,Language!$E$1:$Z557,29,FALSE)</f>
        <v>Standard hardware release</v>
      </c>
      <c r="L89" s="178" t="s">
        <v>27</v>
      </c>
      <c r="M89" s="178"/>
      <c r="N89" s="178" t="s">
        <v>40</v>
      </c>
      <c r="O89" s="178" t="str">
        <f>HLOOKUP(Language!$C$3,Language!$E$1:$Z557,29,FALSE)</f>
        <v>Standard hardware release</v>
      </c>
      <c r="P89" s="178" t="s">
        <v>27</v>
      </c>
      <c r="Q89" s="178"/>
      <c r="R89" s="178" t="s">
        <v>40</v>
      </c>
      <c r="S89" s="178" t="str">
        <f>HLOOKUP(Language!$C$3,Language!$E$1:$Z557,29,FALSE)</f>
        <v>Standard hardware release</v>
      </c>
      <c r="T89" s="178" t="s">
        <v>27</v>
      </c>
      <c r="U89" s="178"/>
      <c r="V89" s="178" t="s">
        <v>40</v>
      </c>
      <c r="W89" s="261" t="str">
        <f>HLOOKUP(Language!$C$3,Language!$E$1:$Z557,29,FALSE)</f>
        <v>Standard hardware release</v>
      </c>
      <c r="X89" s="261" t="s">
        <v>27</v>
      </c>
      <c r="Y89" s="261"/>
      <c r="Z89" s="261" t="s">
        <v>40</v>
      </c>
      <c r="AA89" s="261" t="str">
        <f>HLOOKUP(Language!$C$3,Language!$E$1:$Z557,29,FALSE)</f>
        <v>Standard hardware release</v>
      </c>
      <c r="AB89" s="261" t="s">
        <v>27</v>
      </c>
      <c r="AC89" s="261"/>
      <c r="AD89" s="261" t="s">
        <v>40</v>
      </c>
    </row>
    <row r="90" spans="1:30">
      <c r="A90" s="179"/>
      <c r="B90" s="22"/>
      <c r="C90" s="180" t="str">
        <f>HLOOKUP(Language!$C$3,Language!$E$1:$Z508,42,FALSE)</f>
        <v>Alternate hardware release</v>
      </c>
      <c r="D90" s="180" t="s">
        <v>83</v>
      </c>
      <c r="E90" s="180"/>
      <c r="F90" s="180" t="s">
        <v>40</v>
      </c>
      <c r="G90" s="180" t="str">
        <f>HLOOKUP(Language!$C$3,Language!$E$1:$Z508,42,FALSE)</f>
        <v>Alternate hardware release</v>
      </c>
      <c r="H90" s="180" t="s">
        <v>83</v>
      </c>
      <c r="I90" s="180"/>
      <c r="J90" s="180" t="s">
        <v>40</v>
      </c>
      <c r="K90" s="180" t="str">
        <f>HLOOKUP(Language!$C$3,Language!$E$1:$Z508,42,FALSE)</f>
        <v>Alternate hardware release</v>
      </c>
      <c r="L90" s="180" t="s">
        <v>131</v>
      </c>
      <c r="M90" s="180"/>
      <c r="N90" s="180" t="s">
        <v>40</v>
      </c>
      <c r="O90" s="180" t="str">
        <f>HLOOKUP(Language!$C$3,Language!$E$1:$Z508,42,FALSE)</f>
        <v>Alternate hardware release</v>
      </c>
      <c r="P90" s="180" t="s">
        <v>131</v>
      </c>
      <c r="Q90" s="180"/>
      <c r="R90" s="180" t="s">
        <v>40</v>
      </c>
      <c r="S90" s="180" t="str">
        <f>HLOOKUP(Language!$C$3,Language!$E$1:$Z508,42,FALSE)</f>
        <v>Alternate hardware release</v>
      </c>
      <c r="T90" s="180" t="s">
        <v>131</v>
      </c>
      <c r="U90" s="180"/>
      <c r="V90" s="180" t="s">
        <v>40</v>
      </c>
      <c r="W90" s="262" t="str">
        <f>HLOOKUP(Language!$C$3,Language!$E$1:$Z508,42,FALSE)</f>
        <v>Alternate hardware release</v>
      </c>
      <c r="X90" s="262" t="s">
        <v>131</v>
      </c>
      <c r="Y90" s="262"/>
      <c r="Z90" s="262" t="s">
        <v>40</v>
      </c>
      <c r="AA90" s="262" t="str">
        <f>HLOOKUP(Language!$C$3,Language!$E$1:$Z508,69,FALSE)</f>
        <v>Alternate hardware release (Withdraw)</v>
      </c>
      <c r="AB90" s="262" t="s">
        <v>131</v>
      </c>
      <c r="AC90" s="262"/>
      <c r="AD90" s="262" t="s">
        <v>40</v>
      </c>
    </row>
    <row r="91" spans="1:30">
      <c r="A91" s="181"/>
      <c r="B91" s="18"/>
      <c r="C91" s="182"/>
      <c r="D91" s="182"/>
      <c r="E91" s="182"/>
      <c r="F91" s="182"/>
      <c r="G91" s="182"/>
      <c r="H91" s="182"/>
      <c r="I91" s="182"/>
      <c r="J91" s="182"/>
      <c r="K91" s="182"/>
      <c r="L91" s="182"/>
      <c r="M91" s="182"/>
      <c r="N91" s="182"/>
      <c r="O91" s="182"/>
      <c r="P91" s="182"/>
      <c r="Q91" s="182"/>
      <c r="R91" s="182"/>
      <c r="S91" s="182"/>
      <c r="T91" s="182"/>
      <c r="U91" s="182"/>
      <c r="V91" s="182"/>
      <c r="W91" s="263"/>
      <c r="X91" s="263"/>
      <c r="Y91" s="263"/>
      <c r="Z91" s="263"/>
      <c r="AA91" s="263"/>
      <c r="AB91" s="263"/>
      <c r="AC91" s="263"/>
      <c r="AD91" s="263"/>
    </row>
  </sheetData>
  <pageMargins left="0.511811024" right="0.511811024" top="0.78740157499999996" bottom="0.78740157499999996" header="0.31496062000000002" footer="0.31496062000000002"/>
  <ignoredErrors>
    <ignoredError sqref="H87"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7"/>
  <dimension ref="A1:G78"/>
  <sheetViews>
    <sheetView topLeftCell="C46" zoomScale="115" zoomScaleNormal="115" workbookViewId="0">
      <selection activeCell="E74" sqref="E74"/>
    </sheetView>
  </sheetViews>
  <sheetFormatPr defaultRowHeight="12"/>
  <cols>
    <col min="1" max="1" width="2.42578125" style="1" customWidth="1"/>
    <col min="2" max="2" width="28.85546875" style="2" customWidth="1"/>
    <col min="3" max="3" width="3.140625" style="3" customWidth="1"/>
    <col min="4" max="4" width="3.140625" style="2" customWidth="1"/>
    <col min="5" max="5" width="92.28515625" style="4" customWidth="1"/>
    <col min="6" max="6" width="87.7109375" style="4" customWidth="1"/>
    <col min="7" max="16384" width="9.140625" style="2"/>
  </cols>
  <sheetData>
    <row r="1" spans="1:6">
      <c r="B1" s="2" t="s">
        <v>0</v>
      </c>
      <c r="E1" s="4" t="s">
        <v>1</v>
      </c>
      <c r="F1" s="4" t="s">
        <v>2</v>
      </c>
    </row>
    <row r="2" spans="1:6">
      <c r="E2" s="4" t="s">
        <v>3</v>
      </c>
      <c r="F2" s="4" t="s">
        <v>4</v>
      </c>
    </row>
    <row r="3" spans="1:6">
      <c r="A3" s="5">
        <v>1</v>
      </c>
      <c r="B3" s="6" t="str">
        <f>VLOOKUP(A3,A4:C6,2,FALSE)</f>
        <v>English</v>
      </c>
      <c r="C3" s="7" t="str">
        <f>VLOOKUP(A3,A4:C6,3,FALSE)</f>
        <v>En</v>
      </c>
      <c r="D3" s="8"/>
      <c r="E3" s="4" t="s">
        <v>88</v>
      </c>
      <c r="F3" s="4" t="s">
        <v>89</v>
      </c>
    </row>
    <row r="4" spans="1:6">
      <c r="A4" s="9">
        <v>1</v>
      </c>
      <c r="B4" s="8" t="s">
        <v>5</v>
      </c>
      <c r="C4" s="10" t="s">
        <v>1</v>
      </c>
      <c r="D4" s="8"/>
      <c r="E4" s="4" t="s">
        <v>110</v>
      </c>
      <c r="F4" s="4" t="s">
        <v>110</v>
      </c>
    </row>
    <row r="5" spans="1:6">
      <c r="A5" s="9">
        <v>2</v>
      </c>
      <c r="B5" s="8" t="s">
        <v>6</v>
      </c>
      <c r="C5" s="10" t="s">
        <v>2</v>
      </c>
      <c r="D5" s="8"/>
      <c r="E5" s="4" t="s">
        <v>45</v>
      </c>
      <c r="F5" s="4" t="s">
        <v>46</v>
      </c>
    </row>
    <row r="6" spans="1:6">
      <c r="A6" s="11"/>
      <c r="B6" s="12"/>
      <c r="C6" s="13"/>
      <c r="D6" s="8"/>
      <c r="E6" s="4" t="s">
        <v>47</v>
      </c>
      <c r="F6" s="4" t="s">
        <v>48</v>
      </c>
    </row>
    <row r="7" spans="1:6">
      <c r="E7" s="4" t="s">
        <v>96</v>
      </c>
      <c r="F7" s="4" t="s">
        <v>96</v>
      </c>
    </row>
    <row r="8" spans="1:6">
      <c r="E8" s="4" t="s">
        <v>7</v>
      </c>
      <c r="F8" s="4" t="s">
        <v>8</v>
      </c>
    </row>
    <row r="9" spans="1:6">
      <c r="E9" s="4" t="s">
        <v>49</v>
      </c>
      <c r="F9" s="4" t="s">
        <v>50</v>
      </c>
    </row>
    <row r="10" spans="1:6">
      <c r="E10" s="4" t="s">
        <v>51</v>
      </c>
      <c r="F10" s="4" t="s">
        <v>55</v>
      </c>
    </row>
    <row r="11" spans="1:6">
      <c r="E11" s="4" t="s">
        <v>52</v>
      </c>
      <c r="F11" s="4" t="s">
        <v>56</v>
      </c>
    </row>
    <row r="12" spans="1:6">
      <c r="E12" s="4" t="s">
        <v>53</v>
      </c>
      <c r="F12" s="4" t="s">
        <v>57</v>
      </c>
    </row>
    <row r="13" spans="1:6">
      <c r="E13" s="4" t="s">
        <v>54</v>
      </c>
      <c r="F13" s="4" t="s">
        <v>58</v>
      </c>
    </row>
    <row r="14" spans="1:6">
      <c r="E14" s="4" t="s">
        <v>113</v>
      </c>
      <c r="F14" s="4" t="s">
        <v>122</v>
      </c>
    </row>
    <row r="15" spans="1:6">
      <c r="E15" s="4" t="s">
        <v>68</v>
      </c>
      <c r="F15" s="4" t="s">
        <v>123</v>
      </c>
    </row>
    <row r="16" spans="1:6">
      <c r="E16" s="4" t="s">
        <v>69</v>
      </c>
      <c r="F16" s="4" t="s">
        <v>171</v>
      </c>
    </row>
    <row r="17" spans="5:6">
      <c r="E17" s="4" t="s">
        <v>70</v>
      </c>
      <c r="F17" s="4" t="s">
        <v>74</v>
      </c>
    </row>
    <row r="18" spans="5:6">
      <c r="E18" s="4" t="s">
        <v>71</v>
      </c>
      <c r="F18" s="4" t="s">
        <v>172</v>
      </c>
    </row>
    <row r="19" spans="5:6">
      <c r="E19" s="4" t="s">
        <v>72</v>
      </c>
      <c r="F19" s="4" t="s">
        <v>173</v>
      </c>
    </row>
    <row r="20" spans="5:6">
      <c r="E20" s="4" t="s">
        <v>73</v>
      </c>
      <c r="F20" s="4" t="s">
        <v>75</v>
      </c>
    </row>
    <row r="21" spans="5:6">
      <c r="E21" s="4" t="s">
        <v>76</v>
      </c>
      <c r="F21" s="4" t="s">
        <v>77</v>
      </c>
    </row>
    <row r="22" spans="5:6">
      <c r="E22" s="4" t="s">
        <v>7</v>
      </c>
      <c r="F22" s="4" t="s">
        <v>8</v>
      </c>
    </row>
    <row r="23" spans="5:6">
      <c r="E23" s="4" t="s">
        <v>59</v>
      </c>
      <c r="F23" s="4" t="s">
        <v>60</v>
      </c>
    </row>
    <row r="24" spans="5:6">
      <c r="E24" s="4" t="s">
        <v>61</v>
      </c>
      <c r="F24" s="4" t="s">
        <v>63</v>
      </c>
    </row>
    <row r="25" spans="5:6">
      <c r="E25" s="4" t="s">
        <v>62</v>
      </c>
      <c r="F25" s="4" t="s">
        <v>64</v>
      </c>
    </row>
    <row r="26" spans="5:6">
      <c r="E26" s="4" t="s">
        <v>9</v>
      </c>
      <c r="F26" s="4" t="s">
        <v>105</v>
      </c>
    </row>
    <row r="27" spans="5:6">
      <c r="E27" s="14" t="s">
        <v>136</v>
      </c>
      <c r="F27" s="14" t="s">
        <v>137</v>
      </c>
    </row>
    <row r="28" spans="5:6">
      <c r="E28" s="4" t="s">
        <v>10</v>
      </c>
      <c r="F28" s="4" t="s">
        <v>106</v>
      </c>
    </row>
    <row r="29" spans="5:6">
      <c r="E29" s="2" t="s">
        <v>87</v>
      </c>
      <c r="F29" s="2" t="s">
        <v>107</v>
      </c>
    </row>
    <row r="30" spans="5:6">
      <c r="E30" s="4" t="s">
        <v>11</v>
      </c>
      <c r="F30" s="4" t="s">
        <v>12</v>
      </c>
    </row>
    <row r="31" spans="5:6">
      <c r="E31" s="4" t="s">
        <v>65</v>
      </c>
      <c r="F31" s="4" t="s">
        <v>108</v>
      </c>
    </row>
    <row r="32" spans="5:6">
      <c r="E32" s="4" t="s">
        <v>66</v>
      </c>
      <c r="F32" s="4" t="s">
        <v>67</v>
      </c>
    </row>
    <row r="33" spans="1:7">
      <c r="E33" s="4" t="s">
        <v>21</v>
      </c>
      <c r="F33" s="4" t="s">
        <v>22</v>
      </c>
    </row>
    <row r="34" spans="1:7">
      <c r="E34" s="4" t="s">
        <v>23</v>
      </c>
      <c r="F34" s="4" t="s">
        <v>24</v>
      </c>
    </row>
    <row r="35" spans="1:7">
      <c r="E35" s="4" t="s">
        <v>25</v>
      </c>
      <c r="F35" s="4" t="s">
        <v>109</v>
      </c>
    </row>
    <row r="36" spans="1:7" ht="24">
      <c r="E36" s="4" t="s">
        <v>15</v>
      </c>
      <c r="F36" s="4" t="s">
        <v>16</v>
      </c>
    </row>
    <row r="37" spans="1:7" ht="24">
      <c r="E37" s="4" t="s">
        <v>17</v>
      </c>
      <c r="F37" s="4" t="s">
        <v>18</v>
      </c>
    </row>
    <row r="38" spans="1:7" ht="36">
      <c r="E38" s="14" t="s">
        <v>19</v>
      </c>
      <c r="F38" s="14" t="s">
        <v>20</v>
      </c>
    </row>
    <row r="39" spans="1:7">
      <c r="E39" s="4" t="s">
        <v>13</v>
      </c>
      <c r="F39" s="4" t="s">
        <v>14</v>
      </c>
    </row>
    <row r="40" spans="1:7">
      <c r="E40" s="4" t="s">
        <v>92</v>
      </c>
      <c r="F40" s="4" t="s">
        <v>93</v>
      </c>
    </row>
    <row r="41" spans="1:7">
      <c r="E41" s="4" t="s">
        <v>95</v>
      </c>
      <c r="F41" s="4" t="s">
        <v>94</v>
      </c>
    </row>
    <row r="42" spans="1:7">
      <c r="E42" s="4" t="s">
        <v>85</v>
      </c>
      <c r="F42" s="4" t="s">
        <v>86</v>
      </c>
    </row>
    <row r="43" spans="1:7">
      <c r="E43" s="4" t="s">
        <v>78</v>
      </c>
      <c r="F43" s="4" t="s">
        <v>79</v>
      </c>
    </row>
    <row r="44" spans="1:7">
      <c r="E44" s="4" t="s">
        <v>91</v>
      </c>
      <c r="F44" s="4" t="s">
        <v>90</v>
      </c>
    </row>
    <row r="45" spans="1:7">
      <c r="E45" s="4" t="s">
        <v>80</v>
      </c>
      <c r="F45" s="4" t="s">
        <v>81</v>
      </c>
    </row>
    <row r="46" spans="1:7" customFormat="1" ht="15">
      <c r="A46" s="1"/>
      <c r="B46" s="2"/>
      <c r="C46" s="3"/>
      <c r="D46" s="2"/>
      <c r="E46" s="4" t="s">
        <v>99</v>
      </c>
      <c r="F46" s="4" t="s">
        <v>100</v>
      </c>
      <c r="G46" s="4"/>
    </row>
    <row r="47" spans="1:7" customFormat="1" ht="15">
      <c r="A47" s="1"/>
      <c r="B47" s="2"/>
      <c r="C47" s="3"/>
      <c r="D47" s="2"/>
      <c r="E47" s="4" t="s">
        <v>97</v>
      </c>
      <c r="F47" s="4" t="s">
        <v>98</v>
      </c>
      <c r="G47" s="4"/>
    </row>
    <row r="48" spans="1:7">
      <c r="E48" s="4" t="s">
        <v>111</v>
      </c>
      <c r="F48" s="4" t="s">
        <v>112</v>
      </c>
    </row>
    <row r="49" spans="1:7">
      <c r="E49" s="4" t="s">
        <v>141</v>
      </c>
      <c r="F49" s="4" t="s">
        <v>142</v>
      </c>
    </row>
    <row r="50" spans="1:7" ht="24">
      <c r="E50" s="4" t="s">
        <v>125</v>
      </c>
      <c r="F50" s="4" t="s">
        <v>170</v>
      </c>
    </row>
    <row r="51" spans="1:7" ht="24">
      <c r="E51" s="4" t="s">
        <v>126</v>
      </c>
      <c r="F51" s="4" t="s">
        <v>127</v>
      </c>
    </row>
    <row r="52" spans="1:7" ht="24">
      <c r="E52" s="4" t="s">
        <v>128</v>
      </c>
      <c r="F52" s="4" t="s">
        <v>169</v>
      </c>
    </row>
    <row r="53" spans="1:7">
      <c r="E53" s="4" t="s">
        <v>129</v>
      </c>
      <c r="F53" s="4" t="s">
        <v>130</v>
      </c>
    </row>
    <row r="54" spans="1:7">
      <c r="E54" s="4" t="s">
        <v>133</v>
      </c>
      <c r="F54" s="4" t="s">
        <v>132</v>
      </c>
    </row>
    <row r="55" spans="1:7" customFormat="1" ht="15">
      <c r="A55" s="1"/>
      <c r="B55" s="2"/>
      <c r="C55" s="3"/>
      <c r="D55" s="2"/>
      <c r="E55" s="14" t="s">
        <v>138</v>
      </c>
      <c r="F55" s="14" t="s">
        <v>139</v>
      </c>
      <c r="G55" s="4"/>
    </row>
    <row r="56" spans="1:7" customFormat="1" ht="15">
      <c r="A56" s="1"/>
      <c r="B56" s="2"/>
      <c r="C56" s="3"/>
      <c r="D56" s="2"/>
      <c r="E56" s="4" t="s">
        <v>134</v>
      </c>
      <c r="F56" s="4" t="s">
        <v>135</v>
      </c>
      <c r="G56" s="4"/>
    </row>
    <row r="57" spans="1:7">
      <c r="E57" s="4" t="s">
        <v>151</v>
      </c>
      <c r="F57" s="4" t="s">
        <v>152</v>
      </c>
    </row>
    <row r="58" spans="1:7">
      <c r="E58" s="4" t="s">
        <v>153</v>
      </c>
      <c r="F58" s="4" t="s">
        <v>154</v>
      </c>
    </row>
    <row r="59" spans="1:7">
      <c r="E59" s="4" t="s">
        <v>155</v>
      </c>
      <c r="F59" s="4" t="s">
        <v>156</v>
      </c>
    </row>
    <row r="60" spans="1:7">
      <c r="E60" s="4" t="s">
        <v>36</v>
      </c>
      <c r="F60" s="4" t="s">
        <v>157</v>
      </c>
    </row>
    <row r="61" spans="1:7">
      <c r="E61" s="4" t="s">
        <v>145</v>
      </c>
      <c r="F61" s="4" t="s">
        <v>158</v>
      </c>
    </row>
    <row r="62" spans="1:7">
      <c r="E62" s="4" t="s">
        <v>159</v>
      </c>
      <c r="F62" s="4" t="s">
        <v>160</v>
      </c>
    </row>
    <row r="63" spans="1:7">
      <c r="E63" s="4" t="s">
        <v>161</v>
      </c>
      <c r="F63" s="4" t="s">
        <v>162</v>
      </c>
    </row>
    <row r="64" spans="1:7">
      <c r="E64" s="4" t="s">
        <v>163</v>
      </c>
      <c r="F64" s="4" t="s">
        <v>164</v>
      </c>
    </row>
    <row r="65" spans="5:6">
      <c r="E65" s="4" t="s">
        <v>165</v>
      </c>
      <c r="F65" s="4" t="s">
        <v>166</v>
      </c>
    </row>
    <row r="66" spans="5:6">
      <c r="E66" s="4" t="s">
        <v>167</v>
      </c>
      <c r="F66" s="4" t="s">
        <v>168</v>
      </c>
    </row>
    <row r="67" spans="5:6">
      <c r="E67" s="244" t="s">
        <v>174</v>
      </c>
      <c r="F67" s="244" t="s">
        <v>175</v>
      </c>
    </row>
    <row r="68" spans="5:6">
      <c r="E68" s="245" t="s">
        <v>176</v>
      </c>
      <c r="F68" s="245" t="s">
        <v>177</v>
      </c>
    </row>
    <row r="69" spans="5:6">
      <c r="E69" s="244" t="s">
        <v>180</v>
      </c>
      <c r="F69" s="244" t="s">
        <v>181</v>
      </c>
    </row>
    <row r="70" spans="5:6" ht="24">
      <c r="E70" s="244" t="s">
        <v>182</v>
      </c>
      <c r="F70" s="244" t="s">
        <v>183</v>
      </c>
    </row>
    <row r="71" spans="5:6" ht="24">
      <c r="E71" s="244" t="s">
        <v>184</v>
      </c>
      <c r="F71" s="244" t="s">
        <v>185</v>
      </c>
    </row>
    <row r="72" spans="5:6" ht="24">
      <c r="E72" s="244" t="s">
        <v>186</v>
      </c>
      <c r="F72" s="244" t="s">
        <v>187</v>
      </c>
    </row>
    <row r="73" spans="5:6" ht="24">
      <c r="E73" s="244" t="s">
        <v>200</v>
      </c>
      <c r="F73" s="244" t="s">
        <v>201</v>
      </c>
    </row>
    <row r="74" spans="5:6">
      <c r="E74" s="244" t="s">
        <v>188</v>
      </c>
      <c r="F74" s="244" t="s">
        <v>189</v>
      </c>
    </row>
    <row r="75" spans="5:6">
      <c r="E75" s="244" t="s">
        <v>192</v>
      </c>
      <c r="F75" s="244" t="s">
        <v>193</v>
      </c>
    </row>
    <row r="76" spans="5:6">
      <c r="E76" s="244" t="s">
        <v>194</v>
      </c>
      <c r="F76" s="244" t="s">
        <v>195</v>
      </c>
    </row>
    <row r="77" spans="5:6" ht="24">
      <c r="E77" s="244" t="s">
        <v>196</v>
      </c>
      <c r="F77" s="244" t="s">
        <v>197</v>
      </c>
    </row>
    <row r="78" spans="5:6">
      <c r="E78" s="244" t="s">
        <v>198</v>
      </c>
      <c r="F78" s="244" t="s">
        <v>199</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Disclaimer</vt:lpstr>
      <vt:lpstr>Cortec</vt:lpstr>
      <vt:lpstr>Configurator</vt:lpstr>
      <vt:lpstr>Master Text</vt:lpstr>
      <vt:lpstr>Accessories</vt:lpstr>
      <vt:lpstr>Database</vt:lpstr>
      <vt:lpstr>Date Drivers</vt:lpstr>
      <vt:lpstr>Language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fcn</dc:creator>
  <cp:lastModifiedBy>Zapella, Marcelo (GE Power)</cp:lastModifiedBy>
  <dcterms:created xsi:type="dcterms:W3CDTF">2015-01-23T18:58:08Z</dcterms:created>
  <dcterms:modified xsi:type="dcterms:W3CDTF">2019-07-11T17:00:01Z</dcterms:modified>
</cp:coreProperties>
</file>