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EstaPasta_de_trabalho" defaultThemeVersion="124226"/>
  <mc:AlternateContent xmlns:mc="http://schemas.openxmlformats.org/markup-compatibility/2006">
    <mc:Choice Requires="x15">
      <x15ac:absPath xmlns:x15ac="http://schemas.microsoft.com/office/spreadsheetml/2010/11/ac" url="C:\Users\212539536\Box Sync\MN Product Management\Cortecs\S20\"/>
    </mc:Choice>
  </mc:AlternateContent>
  <xr:revisionPtr revIDLastSave="0" documentId="13_ncr:1_{5221C9D8-B4D4-4288-8B43-0217F93ED791}" xr6:coauthVersionLast="36" xr6:coauthVersionMax="36" xr10:uidLastSave="{00000000-0000-0000-0000-000000000000}"/>
  <workbookProtection workbookPassword="C927" lockStructure="1"/>
  <bookViews>
    <workbookView xWindow="30" yWindow="150" windowWidth="13035" windowHeight="7995" tabRatio="788" xr2:uid="{00000000-000D-0000-FFFF-FFFF00000000}"/>
  </bookViews>
  <sheets>
    <sheet name="Disclaimer" sheetId="7" r:id="rId1"/>
    <sheet name="Cortec" sheetId="6" r:id="rId2"/>
    <sheet name="Configurator" sheetId="5" r:id="rId3"/>
    <sheet name="Master Text" sheetId="4" r:id="rId4"/>
    <sheet name="Accessories" sheetId="8" r:id="rId5"/>
    <sheet name="Database" sheetId="3" state="hidden" r:id="rId6"/>
    <sheet name="Date Drivers" sheetId="2" state="hidden" r:id="rId7"/>
    <sheet name="Language" sheetId="1" state="hidden" r:id="rId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8" l="1"/>
  <c r="A1" i="4"/>
  <c r="A1" i="5"/>
  <c r="A1" i="6"/>
  <c r="B1" i="7"/>
  <c r="D36" i="4"/>
  <c r="D34" i="4" l="1"/>
  <c r="AA1" i="2"/>
  <c r="D33" i="4" l="1"/>
  <c r="W1" i="2"/>
  <c r="D32" i="4" l="1"/>
  <c r="S1" i="2"/>
  <c r="D31" i="4" l="1"/>
  <c r="D95" i="3"/>
  <c r="K2" i="3"/>
  <c r="K1" i="3"/>
  <c r="O1" i="2" l="1"/>
  <c r="D30" i="4" l="1"/>
  <c r="D29" i="4"/>
  <c r="K1" i="2" l="1"/>
  <c r="C1" i="2"/>
  <c r="B3" i="1"/>
  <c r="C3" i="1"/>
  <c r="C6" i="3"/>
  <c r="C7" i="3" s="1"/>
  <c r="C10" i="3"/>
  <c r="C11" i="3" s="1"/>
  <c r="C12" i="3" s="1"/>
  <c r="D11" i="3"/>
  <c r="D12" i="3" s="1"/>
  <c r="C15" i="3"/>
  <c r="C19" i="3"/>
  <c r="C20" i="3" s="1"/>
  <c r="C21" i="3" s="1"/>
  <c r="C22" i="3" s="1"/>
  <c r="C23" i="3" s="1"/>
  <c r="C24" i="3" s="1"/>
  <c r="C25" i="3" s="1"/>
  <c r="C26" i="3" s="1"/>
  <c r="C27" i="3" s="1"/>
  <c r="C28" i="3" s="1"/>
  <c r="C29" i="3" s="1"/>
  <c r="C30" i="3" s="1"/>
  <c r="C31" i="3" s="1"/>
  <c r="D20" i="3"/>
  <c r="D21" i="3" s="1"/>
  <c r="D22" i="3" s="1"/>
  <c r="D23" i="3" s="1"/>
  <c r="D24" i="3" s="1"/>
  <c r="D25" i="3" s="1"/>
  <c r="D26" i="3" s="1"/>
  <c r="D27" i="3" s="1"/>
  <c r="D28" i="3" s="1"/>
  <c r="D29" i="3" s="1"/>
  <c r="D30" i="3" s="1"/>
  <c r="D31" i="3" s="1"/>
  <c r="C34" i="3"/>
  <c r="C35" i="3"/>
  <c r="C36" i="3" s="1"/>
  <c r="C37" i="3" s="1"/>
  <c r="C38" i="3" s="1"/>
  <c r="C39" i="3" s="1"/>
  <c r="C40" i="3" s="1"/>
  <c r="C41" i="3" s="1"/>
  <c r="C42" i="3" s="1"/>
  <c r="C43" i="3" s="1"/>
  <c r="D35" i="3"/>
  <c r="D36" i="3" s="1"/>
  <c r="D37" i="3" s="1"/>
  <c r="D38" i="3" s="1"/>
  <c r="D39" i="3" s="1"/>
  <c r="D40" i="3" s="1"/>
  <c r="D41" i="3" s="1"/>
  <c r="D42" i="3" s="1"/>
  <c r="D43" i="3" s="1"/>
  <c r="C46" i="3"/>
  <c r="C47" i="3" s="1"/>
  <c r="C48" i="3" s="1"/>
  <c r="C49" i="3" s="1"/>
  <c r="C50" i="3" s="1"/>
  <c r="C51" i="3" s="1"/>
  <c r="C52" i="3" s="1"/>
  <c r="C53" i="3" s="1"/>
  <c r="C54" i="3" s="1"/>
  <c r="C55" i="3" s="1"/>
  <c r="D47" i="3"/>
  <c r="D48" i="3" s="1"/>
  <c r="D49" i="3" s="1"/>
  <c r="D50" i="3" s="1"/>
  <c r="D51" i="3"/>
  <c r="D52" i="3" s="1"/>
  <c r="D53" i="3" s="1"/>
  <c r="D54" i="3" s="1"/>
  <c r="D55" i="3" s="1"/>
  <c r="C58" i="3"/>
  <c r="C59" i="3" s="1"/>
  <c r="C60" i="3" s="1"/>
  <c r="C61" i="3" s="1"/>
  <c r="C62" i="3" s="1"/>
  <c r="C63" i="3" s="1"/>
  <c r="C64" i="3" s="1"/>
  <c r="C65" i="3" s="1"/>
  <c r="C66" i="3" s="1"/>
  <c r="C67" i="3" s="1"/>
  <c r="D59" i="3"/>
  <c r="D60" i="3" s="1"/>
  <c r="D61" i="3" s="1"/>
  <c r="D62" i="3" s="1"/>
  <c r="D63" i="3" s="1"/>
  <c r="D64" i="3" s="1"/>
  <c r="D65" i="3" s="1"/>
  <c r="D66" i="3" s="1"/>
  <c r="D67" i="3" s="1"/>
  <c r="C70" i="3"/>
  <c r="C71" i="3"/>
  <c r="C72" i="3" s="1"/>
  <c r="C73" i="3" s="1"/>
  <c r="C74" i="3" s="1"/>
  <c r="C75" i="3" s="1"/>
  <c r="C76" i="3" s="1"/>
  <c r="C77" i="3" s="1"/>
  <c r="C78" i="3" s="1"/>
  <c r="C79" i="3" s="1"/>
  <c r="D71" i="3"/>
  <c r="D72" i="3" s="1"/>
  <c r="D73" i="3" s="1"/>
  <c r="D74" i="3" s="1"/>
  <c r="D75" i="3" s="1"/>
  <c r="D76" i="3" s="1"/>
  <c r="D77" i="3" s="1"/>
  <c r="D78" i="3" s="1"/>
  <c r="D79" i="3" s="1"/>
  <c r="C82" i="3"/>
  <c r="C83" i="3" s="1"/>
  <c r="C84" i="3" s="1"/>
  <c r="C85" i="3" s="1"/>
  <c r="C86" i="3" s="1"/>
  <c r="C87" i="3" s="1"/>
  <c r="C88" i="3" s="1"/>
  <c r="C89" i="3" s="1"/>
  <c r="C90" i="3" s="1"/>
  <c r="C91" i="3" s="1"/>
  <c r="D83" i="3"/>
  <c r="D84" i="3"/>
  <c r="D85" i="3" s="1"/>
  <c r="D86" i="3" s="1"/>
  <c r="D87" i="3" s="1"/>
  <c r="D88" i="3" s="1"/>
  <c r="D89" i="3" s="1"/>
  <c r="D90" i="3" s="1"/>
  <c r="D91" i="3" s="1"/>
  <c r="C94" i="3"/>
  <c r="C95" i="3" s="1"/>
  <c r="C98" i="3"/>
  <c r="C99" i="3" s="1"/>
  <c r="C36" i="4" l="1"/>
  <c r="C35" i="4"/>
  <c r="B5" i="8"/>
  <c r="B9" i="8"/>
  <c r="B10" i="8"/>
  <c r="B12" i="8"/>
  <c r="B6" i="8"/>
  <c r="B7" i="8"/>
  <c r="B11" i="8"/>
  <c r="B8" i="8"/>
  <c r="AA74" i="2"/>
  <c r="AA28" i="2"/>
  <c r="AA84" i="2"/>
  <c r="AA40" i="2"/>
  <c r="AA63" i="2"/>
  <c r="AA27" i="2"/>
  <c r="AA73" i="2"/>
  <c r="AA24" i="2"/>
  <c r="AA52" i="2"/>
  <c r="AA62" i="2"/>
  <c r="AA85" i="2"/>
  <c r="AA25" i="2"/>
  <c r="C34" i="4"/>
  <c r="AA90" i="2"/>
  <c r="AA26" i="2"/>
  <c r="AA41" i="2"/>
  <c r="AA51" i="2"/>
  <c r="AA81" i="2"/>
  <c r="AA77" i="2"/>
  <c r="AA72" i="2"/>
  <c r="AA68" i="2"/>
  <c r="AA59" i="2"/>
  <c r="AA55" i="2"/>
  <c r="AA50" i="2"/>
  <c r="AA46" i="2"/>
  <c r="AA37" i="2"/>
  <c r="AA33" i="2"/>
  <c r="AA22" i="2"/>
  <c r="AA18" i="2"/>
  <c r="AA11" i="2"/>
  <c r="AA6" i="2"/>
  <c r="AA82" i="2"/>
  <c r="AA69" i="2"/>
  <c r="AA65" i="2"/>
  <c r="AA43" i="2"/>
  <c r="AA13" i="2"/>
  <c r="AA89" i="2"/>
  <c r="AA80" i="2"/>
  <c r="AA76" i="2"/>
  <c r="AA71" i="2"/>
  <c r="AA67" i="2"/>
  <c r="AA58" i="2"/>
  <c r="AA54" i="2"/>
  <c r="AA49" i="2"/>
  <c r="AA45" i="2"/>
  <c r="AA36" i="2"/>
  <c r="AA32" i="2"/>
  <c r="AA21" i="2"/>
  <c r="AA17" i="2"/>
  <c r="AA10" i="2"/>
  <c r="AA5" i="2"/>
  <c r="AA78" i="2"/>
  <c r="AA56" i="2"/>
  <c r="AA38" i="2"/>
  <c r="AA23" i="2"/>
  <c r="AA88" i="2"/>
  <c r="AA83" i="2"/>
  <c r="AA79" i="2"/>
  <c r="AA70" i="2"/>
  <c r="AA66" i="2"/>
  <c r="AA61" i="2"/>
  <c r="AA57" i="2"/>
  <c r="AA48" i="2"/>
  <c r="AA44" i="2"/>
  <c r="AA39" i="2"/>
  <c r="AA35" i="2"/>
  <c r="AA20" i="2"/>
  <c r="AA16" i="2"/>
  <c r="AA9" i="2"/>
  <c r="AA4" i="2"/>
  <c r="AA87" i="2"/>
  <c r="AA60" i="2"/>
  <c r="AA47" i="2"/>
  <c r="AA34" i="2"/>
  <c r="AA19" i="2"/>
  <c r="AA7" i="2"/>
  <c r="C33" i="4"/>
  <c r="W87" i="2"/>
  <c r="W84" i="2"/>
  <c r="W80" i="2"/>
  <c r="W76" i="2"/>
  <c r="W71" i="2"/>
  <c r="W67" i="2"/>
  <c r="W62" i="2"/>
  <c r="W58" i="2"/>
  <c r="W54" i="2"/>
  <c r="W49" i="2"/>
  <c r="W45" i="2"/>
  <c r="W40" i="2"/>
  <c r="W36" i="2"/>
  <c r="W32" i="2"/>
  <c r="W25" i="2"/>
  <c r="W21" i="2"/>
  <c r="W17" i="2"/>
  <c r="W10" i="2"/>
  <c r="W5" i="2"/>
  <c r="W90" i="2"/>
  <c r="W83" i="2"/>
  <c r="W79" i="2"/>
  <c r="W74" i="2"/>
  <c r="W70" i="2"/>
  <c r="W66" i="2"/>
  <c r="W61" i="2"/>
  <c r="W57" i="2"/>
  <c r="W52" i="2"/>
  <c r="W48" i="2"/>
  <c r="W44" i="2"/>
  <c r="W39" i="2"/>
  <c r="W35" i="2"/>
  <c r="W28" i="2"/>
  <c r="W24" i="2"/>
  <c r="W20" i="2"/>
  <c r="W16" i="2"/>
  <c r="W9" i="2"/>
  <c r="W4" i="2"/>
  <c r="W89" i="2"/>
  <c r="W82" i="2"/>
  <c r="W78" i="2"/>
  <c r="W73" i="2"/>
  <c r="W69" i="2"/>
  <c r="W65" i="2"/>
  <c r="W60" i="2"/>
  <c r="W56" i="2"/>
  <c r="W51" i="2"/>
  <c r="W47" i="2"/>
  <c r="W43" i="2"/>
  <c r="W38" i="2"/>
  <c r="W34" i="2"/>
  <c r="W27" i="2"/>
  <c r="W23" i="2"/>
  <c r="W19" i="2"/>
  <c r="W13" i="2"/>
  <c r="W7" i="2"/>
  <c r="W88" i="2"/>
  <c r="W85" i="2"/>
  <c r="W81" i="2"/>
  <c r="W77" i="2"/>
  <c r="W72" i="2"/>
  <c r="W68" i="2"/>
  <c r="W63" i="2"/>
  <c r="W59" i="2"/>
  <c r="W55" i="2"/>
  <c r="W50" i="2"/>
  <c r="W46" i="2"/>
  <c r="W41" i="2"/>
  <c r="W37" i="2"/>
  <c r="W33" i="2"/>
  <c r="W26" i="2"/>
  <c r="W22" i="2"/>
  <c r="W18" i="2"/>
  <c r="W11" i="2"/>
  <c r="W6" i="2"/>
  <c r="A2" i="8"/>
  <c r="B3" i="8"/>
  <c r="A3" i="8"/>
  <c r="C80" i="2"/>
  <c r="S25" i="2"/>
  <c r="S17" i="2"/>
  <c r="S89" i="2"/>
  <c r="S83" i="2"/>
  <c r="S79" i="2"/>
  <c r="S74" i="2"/>
  <c r="S70" i="2"/>
  <c r="S66" i="2"/>
  <c r="S61" i="2"/>
  <c r="S57" i="2"/>
  <c r="S52" i="2"/>
  <c r="S48" i="2"/>
  <c r="S44" i="2"/>
  <c r="S39" i="2"/>
  <c r="S35" i="2"/>
  <c r="S28" i="2"/>
  <c r="S24" i="2"/>
  <c r="S20" i="2"/>
  <c r="S16" i="2"/>
  <c r="S9" i="2"/>
  <c r="S4" i="2"/>
  <c r="S87" i="2"/>
  <c r="S82" i="2"/>
  <c r="S78" i="2"/>
  <c r="S73" i="2"/>
  <c r="S69" i="2"/>
  <c r="S65" i="2"/>
  <c r="S60" i="2"/>
  <c r="S56" i="2"/>
  <c r="S51" i="2"/>
  <c r="S47" i="2"/>
  <c r="S43" i="2"/>
  <c r="S38" i="2"/>
  <c r="S34" i="2"/>
  <c r="S27" i="2"/>
  <c r="S23" i="2"/>
  <c r="S19" i="2"/>
  <c r="S13" i="2"/>
  <c r="S7" i="2"/>
  <c r="C32" i="4"/>
  <c r="S85" i="2"/>
  <c r="S81" i="2"/>
  <c r="S77" i="2"/>
  <c r="S72" i="2"/>
  <c r="S68" i="2"/>
  <c r="S63" i="2"/>
  <c r="S59" i="2"/>
  <c r="S55" i="2"/>
  <c r="S50" i="2"/>
  <c r="S46" i="2"/>
  <c r="S41" i="2"/>
  <c r="S37" i="2"/>
  <c r="S33" i="2"/>
  <c r="S26" i="2"/>
  <c r="S22" i="2"/>
  <c r="S18" i="2"/>
  <c r="S11" i="2"/>
  <c r="S6" i="2"/>
  <c r="S90" i="2"/>
  <c r="S84" i="2"/>
  <c r="S80" i="2"/>
  <c r="S76" i="2"/>
  <c r="S71" i="2"/>
  <c r="S67" i="2"/>
  <c r="S62" i="2"/>
  <c r="S58" i="2"/>
  <c r="S54" i="2"/>
  <c r="S49" i="2"/>
  <c r="S45" i="2"/>
  <c r="S40" i="2"/>
  <c r="S36" i="2"/>
  <c r="S32" i="2"/>
  <c r="S21" i="2"/>
  <c r="S10" i="2"/>
  <c r="S5" i="2"/>
  <c r="C31" i="4"/>
  <c r="O88" i="2"/>
  <c r="O87" i="2"/>
  <c r="D4" i="6"/>
  <c r="C21" i="2"/>
  <c r="A27" i="4"/>
  <c r="O82" i="2"/>
  <c r="O78" i="2"/>
  <c r="O73" i="2"/>
  <c r="O69" i="2"/>
  <c r="O65" i="2"/>
  <c r="O60" i="2"/>
  <c r="O56" i="2"/>
  <c r="O51" i="2"/>
  <c r="O47" i="2"/>
  <c r="O43" i="2"/>
  <c r="O38" i="2"/>
  <c r="O34" i="2"/>
  <c r="O27" i="2"/>
  <c r="O23" i="2"/>
  <c r="O19" i="2"/>
  <c r="O13" i="2"/>
  <c r="O7" i="2"/>
  <c r="O26" i="2"/>
  <c r="O11" i="2"/>
  <c r="O90" i="2"/>
  <c r="O71" i="2"/>
  <c r="O67" i="2"/>
  <c r="O58" i="2"/>
  <c r="O49" i="2"/>
  <c r="O40" i="2"/>
  <c r="O25" i="2"/>
  <c r="O10" i="2"/>
  <c r="O89" i="2"/>
  <c r="O79" i="2"/>
  <c r="O70" i="2"/>
  <c r="O66" i="2"/>
  <c r="O57" i="2"/>
  <c r="O44" i="2"/>
  <c r="O28" i="2"/>
  <c r="O20" i="2"/>
  <c r="O4" i="2"/>
  <c r="O85" i="2"/>
  <c r="O81" i="2"/>
  <c r="O77" i="2"/>
  <c r="O72" i="2"/>
  <c r="O68" i="2"/>
  <c r="O63" i="2"/>
  <c r="O59" i="2"/>
  <c r="O55" i="2"/>
  <c r="O50" i="2"/>
  <c r="O46" i="2"/>
  <c r="O41" i="2"/>
  <c r="O37" i="2"/>
  <c r="O33" i="2"/>
  <c r="O22" i="2"/>
  <c r="O18" i="2"/>
  <c r="O6" i="2"/>
  <c r="O84" i="2"/>
  <c r="O80" i="2"/>
  <c r="O76" i="2"/>
  <c r="O62" i="2"/>
  <c r="O54" i="2"/>
  <c r="O45" i="2"/>
  <c r="O36" i="2"/>
  <c r="O32" i="2"/>
  <c r="O21" i="2"/>
  <c r="O17" i="2"/>
  <c r="O5" i="2"/>
  <c r="O83" i="2"/>
  <c r="O74" i="2"/>
  <c r="O61" i="2"/>
  <c r="O52" i="2"/>
  <c r="O48" i="2"/>
  <c r="O39" i="2"/>
  <c r="O35" i="2"/>
  <c r="O24" i="2"/>
  <c r="O16" i="2"/>
  <c r="O9" i="2"/>
  <c r="C30" i="4"/>
  <c r="C61" i="2"/>
  <c r="B4" i="7"/>
  <c r="G43" i="2"/>
  <c r="K18" i="2"/>
  <c r="K87" i="2"/>
  <c r="K82" i="2"/>
  <c r="K78" i="2"/>
  <c r="K73" i="2"/>
  <c r="K69" i="2"/>
  <c r="K65" i="2"/>
  <c r="K60" i="2"/>
  <c r="K56" i="2"/>
  <c r="K51" i="2"/>
  <c r="K47" i="2"/>
  <c r="K43" i="2"/>
  <c r="K38" i="2"/>
  <c r="K34" i="2"/>
  <c r="K27" i="2"/>
  <c r="K23" i="2"/>
  <c r="K19" i="2"/>
  <c r="K13" i="2"/>
  <c r="K7" i="2"/>
  <c r="G4" i="2"/>
  <c r="C6" i="2"/>
  <c r="B9" i="2"/>
  <c r="B9" i="3" s="1"/>
  <c r="A7" i="5" s="1"/>
  <c r="G10" i="2"/>
  <c r="C13" i="2"/>
  <c r="G16" i="2"/>
  <c r="G18" i="2"/>
  <c r="G20" i="2"/>
  <c r="G22" i="2"/>
  <c r="C25" i="2"/>
  <c r="B32" i="2"/>
  <c r="B33" i="3" s="1"/>
  <c r="A12" i="4" s="1"/>
  <c r="G33" i="2"/>
  <c r="G35" i="2"/>
  <c r="G37" i="2"/>
  <c r="G39" i="2"/>
  <c r="C43" i="2"/>
  <c r="C45" i="2"/>
  <c r="C47" i="2"/>
  <c r="C49" i="2"/>
  <c r="C51" i="2"/>
  <c r="G54" i="2"/>
  <c r="G56" i="2"/>
  <c r="G58" i="2"/>
  <c r="G60" i="2"/>
  <c r="C63" i="2"/>
  <c r="C66" i="2"/>
  <c r="C68" i="2"/>
  <c r="C70" i="2"/>
  <c r="C72" i="2"/>
  <c r="B76" i="2"/>
  <c r="B81" i="3" s="1"/>
  <c r="A20" i="4" s="1"/>
  <c r="G77" i="2"/>
  <c r="G79" i="2"/>
  <c r="G81" i="2"/>
  <c r="G83" i="2"/>
  <c r="C87" i="2"/>
  <c r="G89" i="2"/>
  <c r="K90" i="2"/>
  <c r="K84" i="2"/>
  <c r="K80" i="2"/>
  <c r="K76" i="2"/>
  <c r="K71" i="2"/>
  <c r="K67" i="2"/>
  <c r="K62" i="2"/>
  <c r="K58" i="2"/>
  <c r="K54" i="2"/>
  <c r="K49" i="2"/>
  <c r="K45" i="2"/>
  <c r="K40" i="2"/>
  <c r="K36" i="2"/>
  <c r="K32" i="2"/>
  <c r="K25" i="2"/>
  <c r="K21" i="2"/>
  <c r="K17" i="2"/>
  <c r="K10" i="2"/>
  <c r="K5" i="2"/>
  <c r="B4" i="2"/>
  <c r="B2" i="3" s="1"/>
  <c r="A6" i="6" s="1"/>
  <c r="G5" i="2"/>
  <c r="C7" i="2"/>
  <c r="G9" i="2"/>
  <c r="G11" i="2"/>
  <c r="B16" i="2"/>
  <c r="B18" i="3" s="1"/>
  <c r="A10" i="4" s="1"/>
  <c r="G17" i="2"/>
  <c r="G19" i="2"/>
  <c r="G21" i="2"/>
  <c r="G23" i="2"/>
  <c r="C27" i="2"/>
  <c r="G32" i="2"/>
  <c r="G34" i="2"/>
  <c r="G36" i="2"/>
  <c r="G38" i="2"/>
  <c r="C41" i="2"/>
  <c r="C44" i="2"/>
  <c r="C46" i="2"/>
  <c r="C48" i="2"/>
  <c r="C50" i="2"/>
  <c r="B54" i="2"/>
  <c r="B57" i="3" s="1"/>
  <c r="A16" i="4" s="1"/>
  <c r="G55" i="2"/>
  <c r="G57" i="2"/>
  <c r="G59" i="2"/>
  <c r="G61" i="2"/>
  <c r="C65" i="2"/>
  <c r="C67" i="2"/>
  <c r="C69" i="2"/>
  <c r="C71" i="2"/>
  <c r="C73" i="2"/>
  <c r="G76" i="2"/>
  <c r="G78" i="2"/>
  <c r="G80" i="2"/>
  <c r="G82" i="2"/>
  <c r="C85" i="2"/>
  <c r="B89" i="2"/>
  <c r="B97" i="3" s="1"/>
  <c r="A24" i="4" s="1"/>
  <c r="G90" i="2"/>
  <c r="K89" i="2"/>
  <c r="K83" i="2"/>
  <c r="K79" i="2"/>
  <c r="K74" i="2"/>
  <c r="K70" i="2"/>
  <c r="K66" i="2"/>
  <c r="K61" i="2"/>
  <c r="K57" i="2"/>
  <c r="K52" i="2"/>
  <c r="K48" i="2"/>
  <c r="K44" i="2"/>
  <c r="K39" i="2"/>
  <c r="K35" i="2"/>
  <c r="K28" i="2"/>
  <c r="K24" i="2"/>
  <c r="K20" i="2"/>
  <c r="K16" i="2"/>
  <c r="K9" i="2"/>
  <c r="K4" i="2"/>
  <c r="C4" i="2"/>
  <c r="B6" i="2"/>
  <c r="B5" i="3" s="1"/>
  <c r="A4" i="4" s="1"/>
  <c r="G7" i="2"/>
  <c r="C10" i="2"/>
  <c r="B13" i="2"/>
  <c r="B14" i="3" s="1"/>
  <c r="C16" i="2"/>
  <c r="C18" i="2"/>
  <c r="C20" i="2"/>
  <c r="C22" i="2"/>
  <c r="C24" i="2"/>
  <c r="C28" i="2"/>
  <c r="C33" i="2"/>
  <c r="C35" i="2"/>
  <c r="C37" i="2"/>
  <c r="C39" i="2"/>
  <c r="B43" i="2"/>
  <c r="B45" i="3" s="1"/>
  <c r="A14" i="4" s="1"/>
  <c r="G44" i="2"/>
  <c r="G46" i="2"/>
  <c r="G48" i="2"/>
  <c r="G50" i="2"/>
  <c r="C54" i="2"/>
  <c r="C56" i="2"/>
  <c r="C58" i="2"/>
  <c r="C60" i="2"/>
  <c r="C62" i="2"/>
  <c r="G65" i="2"/>
  <c r="G67" i="2"/>
  <c r="G69" i="2"/>
  <c r="G71" i="2"/>
  <c r="C74" i="2"/>
  <c r="C77" i="2"/>
  <c r="C79" i="2"/>
  <c r="C81" i="2"/>
  <c r="C83" i="2"/>
  <c r="B87" i="2"/>
  <c r="B93" i="3" s="1"/>
  <c r="C89" i="2"/>
  <c r="K77" i="2"/>
  <c r="K59" i="2"/>
  <c r="K41" i="2"/>
  <c r="K22" i="2"/>
  <c r="C9" i="2"/>
  <c r="C19" i="2"/>
  <c r="C32" i="2"/>
  <c r="C40" i="2"/>
  <c r="G49" i="2"/>
  <c r="C59" i="2"/>
  <c r="G68" i="2"/>
  <c r="C78" i="2"/>
  <c r="G87" i="2"/>
  <c r="U2" i="5"/>
  <c r="A4" i="6"/>
  <c r="B3" i="7"/>
  <c r="K85" i="2"/>
  <c r="K68" i="2"/>
  <c r="K50" i="2"/>
  <c r="K33" i="2"/>
  <c r="K11" i="2"/>
  <c r="C5" i="2"/>
  <c r="E3" i="3" s="1"/>
  <c r="G13" i="2"/>
  <c r="C23" i="2"/>
  <c r="C36" i="2"/>
  <c r="G45" i="2"/>
  <c r="C55" i="2"/>
  <c r="B65" i="2"/>
  <c r="B69" i="3" s="1"/>
  <c r="G72" i="2"/>
  <c r="C82" i="2"/>
  <c r="C28" i="4"/>
  <c r="B6" i="7"/>
  <c r="K81" i="2"/>
  <c r="K63" i="2"/>
  <c r="K46" i="2"/>
  <c r="K26" i="2"/>
  <c r="K6" i="2"/>
  <c r="G6" i="2"/>
  <c r="C17" i="2"/>
  <c r="C26" i="2"/>
  <c r="C38" i="2"/>
  <c r="G47" i="2"/>
  <c r="C57" i="2"/>
  <c r="G66" i="2"/>
  <c r="C76" i="2"/>
  <c r="C84" i="2"/>
  <c r="C29" i="4"/>
  <c r="A2" i="6"/>
  <c r="B11" i="7"/>
  <c r="K55" i="2"/>
  <c r="G70" i="2"/>
  <c r="C34" i="2"/>
  <c r="K72" i="2"/>
  <c r="C90" i="2"/>
  <c r="C52" i="2"/>
  <c r="C11" i="2"/>
  <c r="K37" i="2"/>
  <c r="A11" i="5"/>
  <c r="G95" i="3"/>
  <c r="F95" i="3"/>
  <c r="E95" i="3"/>
  <c r="A98" i="6" l="1"/>
  <c r="N98" i="6"/>
  <c r="A6" i="4"/>
  <c r="A21" i="6"/>
  <c r="A5" i="5"/>
  <c r="A9" i="6"/>
  <c r="A25" i="5"/>
  <c r="A36" i="6"/>
  <c r="A100" i="6"/>
  <c r="A84" i="6"/>
  <c r="A23" i="5"/>
  <c r="A13" i="5"/>
  <c r="A13" i="6"/>
  <c r="A21" i="5"/>
  <c r="A17" i="5"/>
  <c r="A15" i="5"/>
  <c r="A48" i="6"/>
  <c r="A22" i="4"/>
  <c r="A96" i="6"/>
  <c r="A8" i="4"/>
  <c r="A9" i="5"/>
  <c r="A18" i="6"/>
  <c r="A60" i="6"/>
  <c r="D7" i="6"/>
  <c r="F4" i="5"/>
  <c r="A18" i="4"/>
  <c r="A19" i="5"/>
  <c r="A72" i="6"/>
  <c r="E88" i="3"/>
  <c r="F76" i="3"/>
  <c r="G43" i="3"/>
  <c r="H62" i="3"/>
  <c r="G37" i="3"/>
  <c r="H98" i="3"/>
  <c r="G24" i="3"/>
  <c r="E98" i="3"/>
  <c r="E47" i="3"/>
  <c r="E46" i="3"/>
  <c r="G77" i="3"/>
  <c r="E19" i="3"/>
  <c r="G12" i="3"/>
  <c r="F28" i="3"/>
  <c r="H20" i="3"/>
  <c r="G11" i="3"/>
  <c r="H85" i="3"/>
  <c r="G91" i="3"/>
  <c r="G60" i="3"/>
  <c r="G94" i="3"/>
  <c r="H76" i="3"/>
  <c r="H73" i="3"/>
  <c r="H51" i="3"/>
  <c r="E91" i="3"/>
  <c r="H6" i="3"/>
  <c r="H37" i="3"/>
  <c r="E48" i="3"/>
  <c r="G70" i="3"/>
  <c r="G39" i="3"/>
  <c r="E84" i="3"/>
  <c r="F39" i="3"/>
  <c r="G65" i="3"/>
  <c r="G75" i="3"/>
  <c r="E89" i="3"/>
  <c r="F29" i="3"/>
  <c r="G89" i="3"/>
  <c r="H83" i="3"/>
  <c r="G23" i="3"/>
  <c r="H34" i="3"/>
  <c r="E59" i="3"/>
  <c r="H54" i="3"/>
  <c r="F59" i="3"/>
  <c r="F75" i="3"/>
  <c r="E27" i="3"/>
  <c r="F25" i="3"/>
  <c r="F40" i="3"/>
  <c r="F62" i="3"/>
  <c r="E82" i="3"/>
  <c r="F31" i="3"/>
  <c r="E30" i="3"/>
  <c r="F43" i="3"/>
  <c r="H72" i="3"/>
  <c r="H27" i="3"/>
  <c r="E6" i="3"/>
  <c r="E71" i="3"/>
  <c r="F67" i="3"/>
  <c r="F98" i="3"/>
  <c r="H10" i="3"/>
  <c r="H50" i="3"/>
  <c r="E72" i="3"/>
  <c r="E85" i="3"/>
  <c r="F60" i="3"/>
  <c r="H71" i="3"/>
  <c r="E51" i="3"/>
  <c r="F15" i="3"/>
  <c r="G40" i="3"/>
  <c r="G82" i="3"/>
  <c r="F72" i="3"/>
  <c r="F37" i="3"/>
  <c r="F83" i="3"/>
  <c r="G61" i="3"/>
  <c r="G50" i="3"/>
  <c r="F19" i="3"/>
  <c r="G20" i="3"/>
  <c r="E70" i="3"/>
  <c r="G62" i="3"/>
  <c r="G6" i="3"/>
  <c r="F99" i="3"/>
  <c r="H53" i="3"/>
  <c r="E39" i="3"/>
  <c r="H7" i="3"/>
  <c r="H70" i="3"/>
  <c r="F89" i="3"/>
  <c r="H64" i="3"/>
  <c r="E21" i="3"/>
  <c r="F78" i="3"/>
  <c r="H30" i="3"/>
  <c r="H35" i="3"/>
  <c r="F63" i="3"/>
  <c r="H12" i="3"/>
  <c r="G49" i="3"/>
  <c r="F21" i="3"/>
  <c r="F48" i="3"/>
  <c r="E41" i="3"/>
  <c r="E50" i="3"/>
  <c r="G55" i="3"/>
  <c r="H47" i="3"/>
  <c r="F94" i="3"/>
  <c r="G78" i="3"/>
  <c r="G15" i="3"/>
  <c r="E76" i="3"/>
  <c r="H41" i="3"/>
  <c r="E90" i="3"/>
  <c r="G30" i="3"/>
  <c r="E40" i="3"/>
  <c r="G35" i="3"/>
  <c r="E26" i="3"/>
  <c r="H59" i="3"/>
  <c r="E65" i="3"/>
  <c r="G79" i="3"/>
  <c r="H42" i="3"/>
  <c r="H31" i="3"/>
  <c r="E38" i="3"/>
  <c r="E24" i="3"/>
  <c r="E73" i="3"/>
  <c r="E23" i="3"/>
  <c r="F24" i="3"/>
  <c r="F6" i="3"/>
  <c r="E94" i="3"/>
  <c r="F79" i="3"/>
  <c r="H99" i="3"/>
  <c r="H74" i="3"/>
  <c r="F11" i="3"/>
  <c r="F50" i="3"/>
  <c r="E62" i="3"/>
  <c r="F85" i="3"/>
  <c r="F70" i="3"/>
  <c r="G67" i="3"/>
  <c r="H63" i="3"/>
  <c r="F73" i="3"/>
  <c r="F53" i="3"/>
  <c r="E11" i="3"/>
  <c r="F55" i="3"/>
  <c r="G88" i="3"/>
  <c r="E22" i="3"/>
  <c r="H21" i="3"/>
  <c r="H78" i="3"/>
  <c r="G86" i="3"/>
  <c r="G90" i="3"/>
  <c r="F86" i="3"/>
  <c r="F82" i="3"/>
  <c r="E37" i="3"/>
  <c r="G41" i="3"/>
  <c r="E75" i="3"/>
  <c r="E36" i="3"/>
  <c r="G99" i="3"/>
  <c r="F71" i="3"/>
  <c r="E55" i="3"/>
  <c r="H79" i="3"/>
  <c r="E60" i="3"/>
  <c r="E12" i="3"/>
  <c r="E28" i="3"/>
  <c r="F91" i="3"/>
  <c r="E87" i="3"/>
  <c r="H84" i="3"/>
  <c r="H87" i="3"/>
  <c r="E53" i="3"/>
  <c r="H15" i="3"/>
  <c r="H49" i="3"/>
  <c r="E64" i="3"/>
  <c r="H82" i="3"/>
  <c r="F87" i="3"/>
  <c r="H28" i="3"/>
  <c r="E79" i="3"/>
  <c r="G36" i="3"/>
  <c r="E77" i="3"/>
  <c r="G66" i="3"/>
  <c r="F66" i="3"/>
  <c r="F42" i="3"/>
  <c r="G47" i="3"/>
  <c r="F88" i="3"/>
  <c r="H60" i="3"/>
  <c r="E63" i="3"/>
  <c r="G28" i="3"/>
  <c r="F65" i="3"/>
  <c r="E2" i="3"/>
  <c r="F51" i="3"/>
  <c r="F52" i="3"/>
  <c r="H22" i="3"/>
  <c r="G87" i="3"/>
  <c r="E54" i="3"/>
  <c r="G85" i="3"/>
  <c r="H61" i="3"/>
  <c r="G29" i="3"/>
  <c r="G73" i="3"/>
  <c r="G64" i="3"/>
  <c r="G63" i="3"/>
  <c r="E43" i="3"/>
  <c r="H88" i="3"/>
  <c r="F12" i="3"/>
  <c r="F20" i="3"/>
  <c r="H36" i="3"/>
  <c r="H48" i="3"/>
  <c r="F77" i="3"/>
  <c r="H26" i="3"/>
  <c r="H46" i="3"/>
  <c r="F90" i="3"/>
  <c r="E15" i="3"/>
  <c r="F61" i="3"/>
  <c r="H67" i="3"/>
  <c r="G72" i="3"/>
  <c r="H29" i="3"/>
  <c r="H24" i="3"/>
  <c r="F23" i="3"/>
  <c r="F58" i="3"/>
  <c r="G27" i="3"/>
  <c r="E31" i="3"/>
  <c r="E74" i="3"/>
  <c r="E42" i="3"/>
  <c r="H55" i="3"/>
  <c r="E10" i="3"/>
  <c r="H86" i="3"/>
  <c r="E61" i="3"/>
  <c r="F49" i="3"/>
  <c r="F41" i="3"/>
  <c r="G71" i="3"/>
  <c r="G51" i="3"/>
  <c r="H91" i="3"/>
  <c r="H90" i="3"/>
  <c r="F22" i="3"/>
  <c r="F7" i="3"/>
  <c r="G31" i="3"/>
  <c r="F84" i="3"/>
  <c r="E25" i="3"/>
  <c r="G76" i="3"/>
  <c r="G42" i="3"/>
  <c r="H40" i="3"/>
  <c r="G46" i="3"/>
  <c r="G58" i="3"/>
  <c r="G2" i="3"/>
  <c r="E83" i="3"/>
  <c r="F74" i="3"/>
  <c r="H58" i="3"/>
  <c r="H89" i="3"/>
  <c r="H66" i="3"/>
  <c r="G21" i="3"/>
  <c r="G22" i="3"/>
  <c r="E86" i="3"/>
  <c r="H2" i="3"/>
  <c r="E49" i="3"/>
  <c r="E58" i="3"/>
  <c r="F36" i="3"/>
  <c r="E35" i="3"/>
  <c r="H23" i="3"/>
  <c r="H77" i="3"/>
  <c r="G10" i="3"/>
  <c r="H75" i="3"/>
  <c r="H94" i="3"/>
  <c r="F35" i="3"/>
  <c r="F27" i="3"/>
  <c r="G84" i="3"/>
  <c r="G98" i="3"/>
  <c r="E29" i="3"/>
  <c r="G7" i="3"/>
  <c r="F38" i="3"/>
  <c r="F30" i="3"/>
  <c r="E7" i="3"/>
  <c r="F34" i="3"/>
  <c r="E66" i="3"/>
  <c r="G83" i="3"/>
  <c r="G53" i="3"/>
  <c r="F54" i="3"/>
  <c r="E20" i="3"/>
  <c r="F10" i="3"/>
  <c r="H39" i="3"/>
  <c r="E52" i="3"/>
  <c r="F47" i="3"/>
  <c r="E99" i="3"/>
  <c r="H65" i="3"/>
  <c r="E34" i="3"/>
  <c r="G48" i="3"/>
  <c r="G19" i="3"/>
  <c r="H11" i="3"/>
  <c r="H52" i="3"/>
  <c r="H38" i="3"/>
  <c r="G54" i="3"/>
  <c r="G34" i="3"/>
  <c r="G26" i="3"/>
  <c r="G38" i="3"/>
  <c r="H43" i="3"/>
  <c r="G74" i="3"/>
  <c r="F64" i="3"/>
  <c r="E67" i="3"/>
  <c r="G59" i="3"/>
  <c r="F46" i="3"/>
  <c r="G25" i="3"/>
  <c r="H19" i="3"/>
  <c r="F26" i="3"/>
  <c r="G52" i="3"/>
  <c r="H25" i="3"/>
  <c r="E78" i="3"/>
  <c r="A57" i="6" l="1"/>
  <c r="A89" i="6"/>
  <c r="A81" i="6"/>
  <c r="G69" i="3"/>
  <c r="K62" i="6"/>
  <c r="A19" i="6"/>
  <c r="E14" i="3"/>
  <c r="A9" i="4" s="1"/>
  <c r="H45" i="3"/>
  <c r="W16" i="5" s="1"/>
  <c r="M92" i="6"/>
  <c r="H33" i="3"/>
  <c r="W14" i="5" s="1"/>
  <c r="A63" i="6"/>
  <c r="F5" i="3"/>
  <c r="E10" i="6"/>
  <c r="A65" i="6"/>
  <c r="L75" i="6"/>
  <c r="G5" i="3"/>
  <c r="I40" i="6"/>
  <c r="H69" i="3"/>
  <c r="W20" i="5" s="1"/>
  <c r="H22" i="6"/>
  <c r="A51" i="6"/>
  <c r="A53" i="6"/>
  <c r="I39" i="6"/>
  <c r="A58" i="6"/>
  <c r="E45" i="3"/>
  <c r="A15" i="4" s="1"/>
  <c r="H29" i="6"/>
  <c r="K63" i="6"/>
  <c r="A23" i="6"/>
  <c r="A49" i="6"/>
  <c r="J56" i="6"/>
  <c r="A80" i="6"/>
  <c r="I43" i="6"/>
  <c r="A67" i="6"/>
  <c r="H27" i="6"/>
  <c r="H31" i="6"/>
  <c r="E9" i="3"/>
  <c r="A7" i="4" s="1"/>
  <c r="A14" i="6"/>
  <c r="A2" i="5"/>
  <c r="A3" i="4"/>
  <c r="A7" i="6" s="1"/>
  <c r="L78" i="6"/>
  <c r="G33" i="3"/>
  <c r="G19" i="6"/>
  <c r="F14" i="3"/>
  <c r="G10" i="5" s="1"/>
  <c r="I4" i="5" s="1"/>
  <c r="G14" i="3"/>
  <c r="A69" i="6"/>
  <c r="A24" i="6"/>
  <c r="J52" i="6"/>
  <c r="F18" i="3"/>
  <c r="G12" i="5" s="1"/>
  <c r="J4" i="5" s="1"/>
  <c r="H34" i="6"/>
  <c r="A92" i="6"/>
  <c r="L82" i="6"/>
  <c r="F69" i="3"/>
  <c r="G20" i="5" s="1"/>
  <c r="N4" i="5" s="1"/>
  <c r="O102" i="6"/>
  <c r="I37" i="6"/>
  <c r="E11" i="6"/>
  <c r="L79" i="6"/>
  <c r="H28" i="6"/>
  <c r="A93" i="6"/>
  <c r="A41" i="6"/>
  <c r="A25" i="6"/>
  <c r="G9" i="3"/>
  <c r="E69" i="3"/>
  <c r="A19" i="4" s="1"/>
  <c r="A82" i="6"/>
  <c r="M89" i="6"/>
  <c r="G57" i="3"/>
  <c r="E81" i="3"/>
  <c r="A21" i="4" s="1"/>
  <c r="A94" i="6"/>
  <c r="G81" i="3"/>
  <c r="A28" i="6"/>
  <c r="M91" i="6"/>
  <c r="A70" i="6"/>
  <c r="E57" i="3"/>
  <c r="A17" i="4" s="1"/>
  <c r="A56" i="6"/>
  <c r="A15" i="6"/>
  <c r="A43" i="6"/>
  <c r="A64" i="6"/>
  <c r="H81" i="3"/>
  <c r="W22" i="5" s="1"/>
  <c r="A55" i="6"/>
  <c r="H33" i="6"/>
  <c r="I44" i="6"/>
  <c r="A22" i="6"/>
  <c r="I41" i="6"/>
  <c r="H30" i="6"/>
  <c r="M94" i="6"/>
  <c r="F81" i="3"/>
  <c r="G22" i="5" s="1"/>
  <c r="O4" i="5" s="1"/>
  <c r="N97" i="6"/>
  <c r="F93" i="3"/>
  <c r="G24" i="5" s="1"/>
  <c r="P4" i="5" s="1"/>
  <c r="A46" i="6"/>
  <c r="E33" i="3"/>
  <c r="A13" i="4" s="1"/>
  <c r="G45" i="3"/>
  <c r="A40" i="6"/>
  <c r="A85" i="6"/>
  <c r="G97" i="3"/>
  <c r="A42" i="6"/>
  <c r="K66" i="6"/>
  <c r="A38" i="6"/>
  <c r="J54" i="6"/>
  <c r="H24" i="6"/>
  <c r="J57" i="6"/>
  <c r="F45" i="3"/>
  <c r="G16" i="5" s="1"/>
  <c r="L4" i="5" s="1"/>
  <c r="J58" i="6"/>
  <c r="A54" i="6"/>
  <c r="K69" i="6"/>
  <c r="J51" i="6"/>
  <c r="J55" i="6"/>
  <c r="A68" i="6"/>
  <c r="A31" i="6"/>
  <c r="A87" i="6"/>
  <c r="A75" i="6"/>
  <c r="H93" i="3"/>
  <c r="W24" i="5" s="1"/>
  <c r="A97" i="6"/>
  <c r="E93" i="3"/>
  <c r="A23" i="4" s="1"/>
  <c r="A73" i="6"/>
  <c r="A102" i="6"/>
  <c r="K61" i="6"/>
  <c r="A33" i="6"/>
  <c r="K65" i="6"/>
  <c r="A88" i="6"/>
  <c r="E5" i="3"/>
  <c r="A5" i="4" s="1"/>
  <c r="A10" i="6"/>
  <c r="M93" i="6"/>
  <c r="A32" i="6"/>
  <c r="L77" i="6"/>
  <c r="L74" i="6"/>
  <c r="F15" i="6"/>
  <c r="U4" i="5"/>
  <c r="U3" i="5" s="1"/>
  <c r="H97" i="3"/>
  <c r="W26" i="5" s="1"/>
  <c r="M86" i="6"/>
  <c r="M85" i="6"/>
  <c r="A66" i="6"/>
  <c r="J53" i="6"/>
  <c r="A39" i="6"/>
  <c r="I45" i="6"/>
  <c r="H26" i="6"/>
  <c r="M87" i="6"/>
  <c r="A62" i="6"/>
  <c r="A50" i="6"/>
  <c r="L76" i="6"/>
  <c r="G93" i="3"/>
  <c r="A37" i="6"/>
  <c r="A45" i="6"/>
  <c r="K68" i="6"/>
  <c r="A61" i="6"/>
  <c r="H25" i="6"/>
  <c r="M88" i="6"/>
  <c r="A79" i="6"/>
  <c r="A29" i="6"/>
  <c r="H14" i="3"/>
  <c r="W10" i="5" s="1"/>
  <c r="E18" i="3"/>
  <c r="A11" i="4" s="1"/>
  <c r="A34" i="6"/>
  <c r="H5" i="3"/>
  <c r="W6" i="5" s="1"/>
  <c r="A76" i="6"/>
  <c r="K70" i="6"/>
  <c r="F57" i="3"/>
  <c r="G18" i="5" s="1"/>
  <c r="M4" i="5" s="1"/>
  <c r="L81" i="6"/>
  <c r="A77" i="6"/>
  <c r="A11" i="6"/>
  <c r="H9" i="3"/>
  <c r="W8" i="5" s="1"/>
  <c r="A101" i="6"/>
  <c r="E97" i="3"/>
  <c r="A25" i="4" s="1"/>
  <c r="A74" i="6"/>
  <c r="A27" i="6"/>
  <c r="H18" i="3"/>
  <c r="W12" i="5" s="1"/>
  <c r="M90" i="6"/>
  <c r="F14" i="6"/>
  <c r="F9" i="3"/>
  <c r="G8" i="5" s="1"/>
  <c r="H4" i="5" s="1"/>
  <c r="K67" i="6"/>
  <c r="A30" i="6"/>
  <c r="F16" i="6"/>
  <c r="L73" i="6"/>
  <c r="H32" i="6"/>
  <c r="A16" i="6"/>
  <c r="A86" i="6"/>
  <c r="A90" i="6"/>
  <c r="J50" i="6"/>
  <c r="L80" i="6"/>
  <c r="A26" i="6"/>
  <c r="I38" i="6"/>
  <c r="H23" i="6"/>
  <c r="A52" i="6"/>
  <c r="A44" i="6"/>
  <c r="I46" i="6"/>
  <c r="F33" i="3"/>
  <c r="G14" i="5" s="1"/>
  <c r="K4" i="5" s="1"/>
  <c r="G18" i="3"/>
  <c r="H57" i="3"/>
  <c r="W18" i="5" s="1"/>
  <c r="I42" i="6"/>
  <c r="K64" i="6"/>
  <c r="J49" i="6"/>
  <c r="A78" i="6"/>
  <c r="A91" i="6"/>
  <c r="F97" i="3"/>
  <c r="G26" i="5" s="1"/>
  <c r="Q4" i="5" s="1"/>
  <c r="O101" i="6"/>
  <c r="G6" i="5" l="1"/>
  <c r="G4" i="5" s="1"/>
  <c r="E4" i="3"/>
  <c r="A2" i="4" s="1"/>
</calcChain>
</file>

<file path=xl/sharedStrings.xml><?xml version="1.0" encoding="utf-8"?>
<sst xmlns="http://schemas.openxmlformats.org/spreadsheetml/2006/main" count="1214" uniqueCount="203">
  <si>
    <t>Languages</t>
  </si>
  <si>
    <t>En</t>
  </si>
  <si>
    <t>Pt</t>
  </si>
  <si>
    <t>Model Type</t>
  </si>
  <si>
    <t>Modelo</t>
  </si>
  <si>
    <t>English</t>
  </si>
  <si>
    <t>Português</t>
  </si>
  <si>
    <t>Not installed</t>
  </si>
  <si>
    <t>Não instalado</t>
  </si>
  <si>
    <t>Firmware Version</t>
  </si>
  <si>
    <t>Hardware Design Suffix</t>
  </si>
  <si>
    <t>Issue</t>
  </si>
  <si>
    <t>Emissão</t>
  </si>
  <si>
    <t>Language Selection</t>
  </si>
  <si>
    <t>Seleção de idioma</t>
  </si>
  <si>
    <t xml:space="preserve">Our policy is one of continuous development. Accordingly the design of our products may change at any time. </t>
  </si>
  <si>
    <t>Nossa política é de desenvolvimento contínuo. Portanto o projeto de nossos produtos pode mudar a qualquer momento.</t>
  </si>
  <si>
    <t>Whilst every effort is made to produce up to date literature, this document should only be regarded as a guide and is intended for information purposes only.</t>
  </si>
  <si>
    <t xml:space="preserve">Embora sejam demandados esforços para manter a documentação atualizada, este documento deve ser visto como um guia e destina-se apenas para fins informativos. </t>
  </si>
  <si>
    <t>Its contents do not constitute an offer for sale or advice on the application of any product referred to in it. We cannot be held responsible for any reliance on any decisions taken on its contents without specific advice.</t>
  </si>
  <si>
    <t>Seu conteúdo não constitui uma proposta para venda ou recomendação sobre a aplicação de qualquer produto nele mencionado. Nós não podemos ser responsabilizados por quaisquer consequências em decisões tomadas sobre o seu conteúdo, sem recomendações específicas.</t>
  </si>
  <si>
    <t>Information required with Order</t>
  </si>
  <si>
    <t>Informações requeridas para o pedido</t>
  </si>
  <si>
    <t>Variants</t>
  </si>
  <si>
    <t>Variantes</t>
  </si>
  <si>
    <t>Order Number</t>
  </si>
  <si>
    <t>A</t>
  </si>
  <si>
    <t>B</t>
  </si>
  <si>
    <t>X</t>
  </si>
  <si>
    <t>C</t>
  </si>
  <si>
    <t>D</t>
  </si>
  <si>
    <t>01</t>
  </si>
  <si>
    <t>Base date</t>
  </si>
  <si>
    <t>Date Drivers start reference</t>
  </si>
  <si>
    <t>Date Drivers finish reference</t>
  </si>
  <si>
    <t>Pos</t>
  </si>
  <si>
    <t>Description</t>
  </si>
  <si>
    <t>Option</t>
  </si>
  <si>
    <t>Option Des</t>
  </si>
  <si>
    <t>Avail.</t>
  </si>
  <si>
    <t>Y</t>
  </si>
  <si>
    <t>E</t>
  </si>
  <si>
    <t>F</t>
  </si>
  <si>
    <t>H</t>
  </si>
  <si>
    <t>Cost</t>
  </si>
  <si>
    <t>Power Supply 1</t>
  </si>
  <si>
    <t>Fonte de Alimentação 1</t>
  </si>
  <si>
    <t>Power Supply 2</t>
  </si>
  <si>
    <t>Fonte de Alimentação 2</t>
  </si>
  <si>
    <t>Interface Module 1</t>
  </si>
  <si>
    <t>Módulo de Interface 1</t>
  </si>
  <si>
    <t>Interface Module 2</t>
  </si>
  <si>
    <t>Interface Module 3</t>
  </si>
  <si>
    <t>Interface Module 4</t>
  </si>
  <si>
    <t>Interface Module 5</t>
  </si>
  <si>
    <t>Módulo de Interface 2</t>
  </si>
  <si>
    <t>Módulo de Interface 3</t>
  </si>
  <si>
    <t>Módulo de Interface 4</t>
  </si>
  <si>
    <t>Módulo de Interface 5</t>
  </si>
  <si>
    <t>PTP Support</t>
  </si>
  <si>
    <t>Suporte a PTP</t>
  </si>
  <si>
    <t>With PTP (IEEE 1588) support</t>
  </si>
  <si>
    <t>Without PTP (IEEE 1588) support</t>
  </si>
  <si>
    <t>Com suporte a PTP (IEEE 1588)</t>
  </si>
  <si>
    <t>Sem suporte a PTP (IEEE 1588)</t>
  </si>
  <si>
    <t>Original created</t>
  </si>
  <si>
    <t>Removed module option R on Interface 3</t>
  </si>
  <si>
    <t>Removido módulo opção R na interface 3</t>
  </si>
  <si>
    <t>Four slots for SFP transceivers</t>
  </si>
  <si>
    <t>Four 1 Gbps LC-type connector multi mode fiber 1000BASE-SX Ethernet for up to 0.5 km</t>
  </si>
  <si>
    <t>Four 1 Gbps LC-type connector single mode fiber 1000BASE-LX Ethernet for up to 10 km</t>
  </si>
  <si>
    <t>Four 1 Gbps LC-type connector single mode fiber 1000BASE-ZX Ethernet for up to 40 km</t>
  </si>
  <si>
    <t>Four 1 Gbps LC-type connector single mode fiber 1000BASE-ZX Ethernet for up to 80 km</t>
  </si>
  <si>
    <t>Four 100 Mbps LC-type connector multi mode fiber 100BASE-FX Ethernet for up to 2 km</t>
  </si>
  <si>
    <t>Quatro portas ethernet para até 10 km 1 Gbps 1000BASE-LX conector fibra monomodo LC</t>
  </si>
  <si>
    <t>Quatro portas ethernet para até 2 km 100 Mbps 100BASE-FX conector fibra multimodo LC</t>
  </si>
  <si>
    <t>Four RJ45 copper 10/100BASE-TX</t>
  </si>
  <si>
    <t>Quatro portas ethernet 10/100/BASE-TX conector elétrico RJ45</t>
  </si>
  <si>
    <t>Mounting Options</t>
  </si>
  <si>
    <t>Opção de Montagem</t>
  </si>
  <si>
    <t>DIN rail mounting</t>
  </si>
  <si>
    <t>Montagem em trilho DIN</t>
  </si>
  <si>
    <t>P</t>
  </si>
  <si>
    <t>AL</t>
  </si>
  <si>
    <t/>
  </si>
  <si>
    <t>Alternate hardware release</t>
  </si>
  <si>
    <t>Versão de hardware alternada</t>
  </si>
  <si>
    <t>Standard hardware release</t>
  </si>
  <si>
    <t>Modular Managed Ethernet Switch</t>
  </si>
  <si>
    <t>Switch Ethernet Gerenciável modular</t>
  </si>
  <si>
    <t>Montagem em rack 19" /  Montagem posterior</t>
  </si>
  <si>
    <t>19” Rack Mount / Rear Mount</t>
  </si>
  <si>
    <t>24-48 Vdc</t>
  </si>
  <si>
    <t>24-48 Vcc</t>
  </si>
  <si>
    <t>Incluído a opção da fonte de 24-48 Vcc</t>
  </si>
  <si>
    <t>24-48 Vdc power supply option included</t>
  </si>
  <si>
    <t>100-250 Vdc / 110-240 Vac</t>
  </si>
  <si>
    <t>Orders on request</t>
  </si>
  <si>
    <t>Venda sob-consulta</t>
  </si>
  <si>
    <t>Material Cost</t>
  </si>
  <si>
    <t>Custo de Material</t>
  </si>
  <si>
    <t>Chassis</t>
  </si>
  <si>
    <t>Base date:</t>
  </si>
  <si>
    <t>Key date:</t>
  </si>
  <si>
    <t>CORTEC</t>
  </si>
  <si>
    <t>Versão de Firmware</t>
  </si>
  <si>
    <t>Sufixo Designador do Hardware</t>
  </si>
  <si>
    <t>Versão de hardware padrão</t>
  </si>
  <si>
    <t>Criado Originalmente</t>
  </si>
  <si>
    <t>Informações requeridas para o pedido:</t>
  </si>
  <si>
    <t>S2024G</t>
  </si>
  <si>
    <t>Interface Module 6</t>
  </si>
  <si>
    <t>Módulo de Interface 6</t>
  </si>
  <si>
    <t>Four 1 Gbps RJ45 copper 10/100BASE-TX/1000BASE-T Ethernet ports</t>
  </si>
  <si>
    <t>J</t>
  </si>
  <si>
    <t>16-17</t>
  </si>
  <si>
    <t>18-19</t>
  </si>
  <si>
    <t>K</t>
  </si>
  <si>
    <t>L</t>
  </si>
  <si>
    <t>M</t>
  </si>
  <si>
    <t>I</t>
  </si>
  <si>
    <t>04</t>
  </si>
  <si>
    <t>Quatro portas ethernet 10/100BASE-TX/1000BASE-T conector elétrico RJ45</t>
  </si>
  <si>
    <t>Quatro slots SFP para transceptores</t>
  </si>
  <si>
    <t>1-6</t>
  </si>
  <si>
    <t>Two 1 Gbps RJ45 SFP Transceivers 10/100BASE-TX/1000BASE-T Ethernet ports + Two 1 Gbps LC-type connector multi mode fiber 1000BASE-SX Ethernet for up to 0.5 km</t>
  </si>
  <si>
    <t>Two 1 Gbps RJ45 SFP Transceivers 10/100BASE-TX/1000BASE-T Ethernet ports + Two 100 Mbps LC-type connector multi mode fiber 100BASE-FX Ethernet for up to 2 km</t>
  </si>
  <si>
    <t>Duas portas ethernet 10/100BASE-TX/1000BASE-T transceptor SFP RJ45 + Duas portas ethernet para até 2 km 100 Mbps 100BASE-FX conector fibra multimodo LC</t>
  </si>
  <si>
    <t>Two 1 Gbps LC-type connector multi mode fiber 1000BASE-SX Ethernet for up to 0.5 km + Two 100 Mbps LC-type connector multi mode fiber 100BASE-FX Ethernet for up to 2 km</t>
  </si>
  <si>
    <t>Module J, K, L, M Options included and update firmware version to 04</t>
  </si>
  <si>
    <t>Incluído novas opções de módulos J, K, L e M. Atualizado a versão de firmware para 04.</t>
  </si>
  <si>
    <t>BL</t>
  </si>
  <si>
    <t>Corrigido o sufixo designador de hardware para B</t>
  </si>
  <si>
    <t>Amended hardware design suffix to B</t>
  </si>
  <si>
    <t>New firmware and GE branding</t>
  </si>
  <si>
    <t>Novo firmware e marca GE</t>
  </si>
  <si>
    <t>Latest available firmware</t>
  </si>
  <si>
    <t>Última versão disponível</t>
  </si>
  <si>
    <t>Firmware version number</t>
  </si>
  <si>
    <t>Número da versão do firmware</t>
  </si>
  <si>
    <t>05</t>
  </si>
  <si>
    <t>Four 1 Gbps RJ45 SFP Transceivers 10/100BASE-TX/1000BASE-T Ethernet ports (Not CE marked)</t>
  </si>
  <si>
    <t>Quatro portas ethernet 10/100BASE-TX/1000BASE-T transceptor SFP RJ45 (Sem certificação CE)</t>
  </si>
  <si>
    <t>N</t>
  </si>
  <si>
    <t>SFP1GCU01K</t>
  </si>
  <si>
    <t>SFP Transceiver 10/100/1000Mbps, RJ45 connector</t>
  </si>
  <si>
    <t>SFP1GFO10K</t>
  </si>
  <si>
    <t>SFP1GFO40K</t>
  </si>
  <si>
    <t>SFP1GFO80K</t>
  </si>
  <si>
    <t>SFP1GFO05K</t>
  </si>
  <si>
    <t>SFP01GFO2K</t>
  </si>
  <si>
    <t>Removed firmware version 04, included the Accessories tab</t>
  </si>
  <si>
    <t>Removido a versão de firmware 04, incluido a aba de Acessórios</t>
  </si>
  <si>
    <t>Accessories</t>
  </si>
  <si>
    <t>Acessórios</t>
  </si>
  <si>
    <t>Code</t>
  </si>
  <si>
    <t>Código</t>
  </si>
  <si>
    <t>Descrição</t>
  </si>
  <si>
    <t>Transceptor SFP de 10/100/1000Mbps, conector elétrico RJ45</t>
  </si>
  <si>
    <t>SFP Transceiver 1000Mbps LC single mode, 1310nm wavelength, 10km</t>
  </si>
  <si>
    <t>Transceptor SFP de 1000Mbps, conector fibra monomodo LC, 1310nm, 10km</t>
  </si>
  <si>
    <t>SFP Transceiver 1000Mbps LC single mode, 1310nm wavelength, 40km</t>
  </si>
  <si>
    <t>Transceptor SFP de 1000Mbps, conector fibra monomodo LC, 1310nm, 40km</t>
  </si>
  <si>
    <t>SFP Transceiver 1000Mbps LC single mode, 1550nm wavelength, 80km</t>
  </si>
  <si>
    <t>Transceptor SFP de 1000Mbps, conector fibra monomodo LC, 1550nm, 80km</t>
  </si>
  <si>
    <t>SFP Transceiver 1000Mbps LC multi mode, 850nm wavelength, 500m</t>
  </si>
  <si>
    <t>Transceptor SFP de 1000Mbps, conector fibra multimodo LC, 850nm, 500m</t>
  </si>
  <si>
    <t>SFP Transceiver 100Mbps LC multi mode, 1310nm wavelength, 2km</t>
  </si>
  <si>
    <t>Transceptor SFP de 100Mbps, conector fibra multimodo LC, 1310nm, 2km</t>
  </si>
  <si>
    <t>Duas portas ethernet para até 0,5 km 1 Gbps 1000BASE-SX conector fibra multimodo LC + Duas portas ethernet para até 2 km 100 Mbps 100BASE-FX conector fibra multimodo LC</t>
  </si>
  <si>
    <t>Duas portas ethernet 10/100BASE-TX/1000BASE-T transceptor SFP RJ45 + Duas portas ethernet para até 0,5 km 1 Gbps 1000BASE-SX conector fibra multimodo LC</t>
  </si>
  <si>
    <t>Quatro portas ethernet para até 0,5 km 1 Gbps 1000BASE-SX conector fibra multimodo LC</t>
  </si>
  <si>
    <t>Quatro portas ethernet para até 40 km 1 Gbps 1000BASE-ZX conector fibra monomodo LC</t>
  </si>
  <si>
    <t>Quatro portas ethernet para até 80 km 1 Gbps 1000BASE-ZX conector fibra monomodo LC</t>
  </si>
  <si>
    <t>SFP Transceiver 1000Mbps LC single mode, 1550nm wavelength, 120km </t>
  </si>
  <si>
    <t>Transceptor SFP de 1000Mbps, conector fibra monomodo LC, 1550nm, 120km</t>
  </si>
  <si>
    <t>Added firmware version 06 and included the 1 Gbps SFP for 120km as accessory</t>
  </si>
  <si>
    <t>Adicionada a versão de firmware 06 e incluído o SFP 1 Gbps para 120 km como acessório</t>
  </si>
  <si>
    <t>06</t>
  </si>
  <si>
    <t>SFP1GFO120K</t>
  </si>
  <si>
    <t>Alternate hardware release (Withdraw)</t>
  </si>
  <si>
    <t>Versão de hardware alternada (Obsoleto)</t>
  </si>
  <si>
    <r>
      <t xml:space="preserve">Four 1 Gbps RJ45 SFP Transceivers 10/100BASE-TX/1000BASE-T Ethernet ports </t>
    </r>
    <r>
      <rPr>
        <b/>
        <sz val="9"/>
        <color theme="1"/>
        <rFont val="Arial"/>
        <family val="2"/>
      </rPr>
      <t>(Not CE marked) (Withdraw)</t>
    </r>
  </si>
  <si>
    <r>
      <t xml:space="preserve">Quatro portas ethernet 10/100BASE-TX/1000BASE-T transceptor SFP RJ45 </t>
    </r>
    <r>
      <rPr>
        <b/>
        <sz val="9"/>
        <color theme="1"/>
        <rFont val="Arial"/>
        <family val="2"/>
      </rPr>
      <t>(Sem certificação CE) (Obsoleto)</t>
    </r>
  </si>
  <si>
    <t>Two 1 Gbps RJ45 SFP Transceivers 10/100BASE-TX/1000BASE-T Ethernet ports + Two 1 Gbps LC-type connector multi mode fiber 1000BASE-SX Ethernet for up to 0.5 km  (Withdraw)</t>
  </si>
  <si>
    <t>Duas portas ethernet 10/100BASE-TX/1000BASE-T transceptor SFP RJ45 + Duas portas ethernet para até 0,5 km 1 Gbps 1000BASE-SX conector fibra multimodo LC (Obsoleto)</t>
  </si>
  <si>
    <t>Two 1 Gbps RJ45 SFP Transceivers 10/100BASE-TX/1000BASE-T Ethernet ports + Two 100 Mbps LC-type connector multi mode fiber 100BASE-FX Ethernet for up to 2 km (Withdraw)</t>
  </si>
  <si>
    <t>Duas portas ethernet 10/100BASE-TX/1000BASE-T transceptor SFP RJ45 + Duas portas ethernet para até 2 km 100 Mbps 100BASE-FX conector fibra multimodo LC (Obsoleto)</t>
  </si>
  <si>
    <t>Not installed (Withdraw)</t>
  </si>
  <si>
    <t>Não instalado (Obsoleto)</t>
  </si>
  <si>
    <t>F ver2</t>
  </si>
  <si>
    <t>SFP1GCU02K</t>
  </si>
  <si>
    <t>SFP Transceiver 10/100/1000Mbps, RJ45 connector, not CE Market (Withdraw)</t>
  </si>
  <si>
    <t>Transceptor SFP de 10/100/1000Mbps, conector elétrico RJ45, sem certificação CE (Obsoleto)</t>
  </si>
  <si>
    <t>Firmware 05 and 06 have been withdrawn as per GE Publication No. GER-4820 and GER-4844.</t>
  </si>
  <si>
    <t>Firmware 05 e 06 estão obsoletos de acordo com a Publicação GE nº GER-4820 e GER-4844.</t>
  </si>
  <si>
    <t>This Cortec file has be superseded by the S20 Cortec File; please reference the S20 Cortec file for your current ordering needs.</t>
  </si>
  <si>
    <t>Este arquivo de Cortec foi substituído pelo arquivo "S20 Cortec"; por favor, consulte o arquivo "S20 Cortec" para suas necessidades atuais de pedidos.</t>
  </si>
  <si>
    <t>THIS CORTEC FILE HAS BEEN REPLACED BY THE S20 CORTEC FILE</t>
  </si>
  <si>
    <t>ESTE ARQUIVO DE CORTEC FOI SUBSTITUÍDO PELO ARQUIVO "CORTEC S20"</t>
  </si>
  <si>
    <t>Multiple withdraws: Interface Module options J, K &amp; L (refer to GER-4844) and alternate hardware (BL) / Transceiver SFP1GCU01K replaced by SFP1GCU02K</t>
  </si>
  <si>
    <t>Multiplas obsolescências: Opções de interface J, K &amp; L (ver GER-4844) e versão de hardware alternada (BL) / Transceptor SFP1GCU01K substituido por SFP1GCU02K</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</si>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</sst>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9"/>
      <color indexed="8"/>
      <name val="Arial"/>
      <family val="2"/>
    </font>
    <font>
      <b/>
      <sz val="9"/>
      <color indexed="10"/>
      <name val="Arial"/>
      <family val="2"/>
    </font>
    <font>
      <b/>
      <sz val="9"/>
      <color indexed="8"/>
      <name val="Arial"/>
      <family val="2"/>
    </font>
    <font>
      <sz val="9"/>
      <name val="Arial"/>
      <family val="2"/>
    </font>
    <font>
      <b/>
      <sz val="14"/>
      <color indexed="8"/>
      <name val="Arial"/>
      <family val="2"/>
    </font>
    <font>
      <sz val="11"/>
      <color indexed="8"/>
      <name val="Arial"/>
      <family val="2"/>
    </font>
    <font>
      <sz val="10"/>
      <color indexed="8"/>
      <name val="Arial"/>
      <family val="2"/>
    </font>
    <font>
      <sz val="12"/>
      <color indexed="8"/>
      <name val="Arial"/>
      <family val="2"/>
    </font>
    <font>
      <sz val="14"/>
      <color indexed="8"/>
      <name val="Arial"/>
      <family val="2"/>
    </font>
    <font>
      <b/>
      <sz val="14"/>
      <color indexed="10"/>
      <name val="Arial"/>
      <family val="2"/>
    </font>
    <font>
      <b/>
      <sz val="12"/>
      <color indexed="12"/>
      <name val="Arial"/>
      <family val="2"/>
    </font>
    <font>
      <sz val="11"/>
      <color indexed="30"/>
      <name val="Arial"/>
      <family val="2"/>
    </font>
    <font>
      <sz val="10"/>
      <name val="Arial"/>
      <family val="2"/>
    </font>
    <font>
      <sz val="10"/>
      <color indexed="9"/>
      <name val="Arial"/>
      <family val="2"/>
    </font>
    <font>
      <b/>
      <sz val="10"/>
      <name val="Arial"/>
      <family val="2"/>
    </font>
    <font>
      <sz val="11"/>
      <name val="Arial"/>
      <family val="2"/>
    </font>
    <font>
      <sz val="9"/>
      <color theme="1"/>
      <name val="Arial"/>
      <family val="2"/>
    </font>
    <font>
      <sz val="11"/>
      <color theme="1"/>
      <name val="Arial"/>
      <family val="2"/>
    </font>
    <font>
      <b/>
      <sz val="16"/>
      <color rgb="FFFF0000"/>
      <name val="Arial"/>
      <family val="2"/>
    </font>
    <font>
      <b/>
      <sz val="12"/>
      <color rgb="FFFF0000"/>
      <name val="Arial"/>
      <family val="2"/>
    </font>
    <font>
      <b/>
      <sz val="11"/>
      <color theme="1"/>
      <name val="Arial"/>
      <family val="2"/>
    </font>
    <font>
      <sz val="11"/>
      <color rgb="FFFF0000"/>
      <name val="Arial"/>
      <family val="2"/>
    </font>
    <font>
      <b/>
      <sz val="10"/>
      <color theme="1"/>
      <name val="Arial"/>
      <family val="2"/>
    </font>
    <font>
      <sz val="10"/>
      <color theme="1"/>
      <name val="Arial"/>
      <family val="2"/>
    </font>
    <font>
      <b/>
      <sz val="9"/>
      <color theme="0"/>
      <name val="Arial"/>
      <family val="2"/>
    </font>
    <font>
      <b/>
      <sz val="9"/>
      <color rgb="FFFF0000"/>
      <name val="Arial"/>
      <family val="2"/>
    </font>
    <font>
      <b/>
      <sz val="9"/>
      <color theme="1"/>
      <name val="Arial"/>
      <family val="2"/>
    </font>
    <font>
      <sz val="10"/>
      <name val="GE Inspira"/>
      <family val="2"/>
    </font>
    <font>
      <sz val="11"/>
      <color theme="1"/>
      <name val="GE Inspira"/>
      <family val="2"/>
    </font>
    <font>
      <b/>
      <sz val="11"/>
      <color indexed="9"/>
      <name val="Arial"/>
      <family val="2"/>
    </font>
    <font>
      <sz val="11"/>
      <color indexed="9"/>
      <name val="Arial"/>
      <family val="2"/>
    </font>
    <font>
      <sz val="11"/>
      <color theme="0"/>
      <name val="Arial"/>
      <family val="2"/>
    </font>
  </fonts>
  <fills count="16">
    <fill>
      <patternFill patternType="none"/>
    </fill>
    <fill>
      <patternFill patternType="gray125"/>
    </fill>
    <fill>
      <patternFill patternType="solid">
        <fgColor indexed="55"/>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969696"/>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theme="4"/>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ck">
        <color indexed="64"/>
      </left>
      <right/>
      <top/>
      <bottom/>
      <diagonal/>
    </border>
    <border>
      <left style="medium">
        <color indexed="64"/>
      </left>
      <right style="thick">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s>
  <cellStyleXfs count="3">
    <xf numFmtId="0" fontId="0" fillId="0" borderId="0"/>
    <xf numFmtId="0" fontId="13" fillId="0" borderId="0"/>
    <xf numFmtId="0" fontId="16" fillId="0" borderId="0"/>
  </cellStyleXfs>
  <cellXfs count="298">
    <xf numFmtId="0" fontId="0" fillId="0" borderId="0" xfId="0"/>
    <xf numFmtId="0" fontId="17" fillId="0" borderId="0" xfId="0" applyFont="1" applyAlignment="1">
      <alignment horizontal="center" vertical="center"/>
    </xf>
    <xf numFmtId="0" fontId="17" fillId="0" borderId="0" xfId="0" applyFont="1"/>
    <xf numFmtId="0" fontId="17" fillId="0" borderId="0" xfId="0" applyFont="1" applyAlignment="1">
      <alignment horizontal="center"/>
    </xf>
    <xf numFmtId="0" fontId="17" fillId="0" borderId="0" xfId="0" applyFont="1" applyAlignment="1">
      <alignment wrapText="1"/>
    </xf>
    <xf numFmtId="0" fontId="17" fillId="7" borderId="1" xfId="0" applyFont="1" applyFill="1" applyBorder="1" applyAlignment="1">
      <alignment horizontal="center" vertical="center"/>
    </xf>
    <xf numFmtId="0" fontId="17" fillId="7" borderId="2" xfId="0" applyFont="1" applyFill="1" applyBorder="1"/>
    <xf numFmtId="0" fontId="17" fillId="7" borderId="1" xfId="0" applyFont="1" applyFill="1" applyBorder="1" applyAlignment="1">
      <alignment horizontal="center"/>
    </xf>
    <xf numFmtId="0" fontId="17" fillId="0" borderId="0" xfId="0" applyFont="1" applyBorder="1"/>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vertical="center"/>
    </xf>
    <xf numFmtId="0" fontId="17" fillId="0" borderId="5" xfId="0" applyFont="1" applyBorder="1"/>
    <xf numFmtId="0" fontId="17" fillId="0" borderId="4" xfId="0" applyFont="1" applyBorder="1" applyAlignment="1">
      <alignment horizontal="center"/>
    </xf>
    <xf numFmtId="0" fontId="17" fillId="0" borderId="0" xfId="0" applyFont="1" applyAlignment="1">
      <alignment vertical="center" wrapText="1"/>
    </xf>
    <xf numFmtId="0" fontId="1" fillId="0" borderId="0" xfId="0" applyFont="1"/>
    <xf numFmtId="0" fontId="3" fillId="0" borderId="6" xfId="0" applyFont="1" applyBorder="1"/>
    <xf numFmtId="0" fontId="3" fillId="0" borderId="0" xfId="0" applyFont="1" applyBorder="1"/>
    <xf numFmtId="0" fontId="1" fillId="0" borderId="5" xfId="0" applyFont="1" applyBorder="1"/>
    <xf numFmtId="0" fontId="1" fillId="0" borderId="0" xfId="0" applyFont="1" applyAlignment="1">
      <alignment horizontal="center" vertical="center"/>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Border="1"/>
    <xf numFmtId="0" fontId="3" fillId="0" borderId="5" xfId="0" applyFont="1" applyBorder="1"/>
    <xf numFmtId="0" fontId="18" fillId="0" borderId="0" xfId="0" applyFont="1"/>
    <xf numFmtId="0" fontId="6" fillId="0" borderId="7" xfId="0" applyFont="1" applyBorder="1"/>
    <xf numFmtId="0" fontId="6" fillId="0" borderId="7" xfId="0" applyFont="1" applyBorder="1" applyAlignment="1">
      <alignment horizontal="center" vertical="center"/>
    </xf>
    <xf numFmtId="0" fontId="6" fillId="0" borderId="8" xfId="0" applyFont="1" applyBorder="1"/>
    <xf numFmtId="0" fontId="6" fillId="0" borderId="0" xfId="0" applyFont="1"/>
    <xf numFmtId="0" fontId="6" fillId="0" borderId="9" xfId="0" applyFont="1" applyBorder="1"/>
    <xf numFmtId="0" fontId="6" fillId="0" borderId="2" xfId="0" applyFont="1" applyBorder="1"/>
    <xf numFmtId="0" fontId="6" fillId="0" borderId="10" xfId="0" applyFont="1" applyBorder="1"/>
    <xf numFmtId="0" fontId="8" fillId="0" borderId="9" xfId="0" applyFont="1" applyBorder="1"/>
    <xf numFmtId="0" fontId="9" fillId="0" borderId="2" xfId="0" applyFont="1" applyBorder="1"/>
    <xf numFmtId="0" fontId="9" fillId="0" borderId="11" xfId="0" applyFont="1" applyBorder="1"/>
    <xf numFmtId="0" fontId="10" fillId="0" borderId="1" xfId="0" applyFont="1" applyBorder="1" applyAlignment="1">
      <alignment horizontal="center" vertical="center"/>
    </xf>
    <xf numFmtId="0" fontId="8" fillId="0" borderId="10" xfId="0" applyFont="1" applyBorder="1"/>
    <xf numFmtId="0" fontId="8" fillId="0" borderId="0" xfId="0" applyFont="1"/>
    <xf numFmtId="0" fontId="11" fillId="0" borderId="12" xfId="0" applyFont="1" applyBorder="1" applyAlignment="1">
      <alignment vertical="center"/>
    </xf>
    <xf numFmtId="0" fontId="9" fillId="0" borderId="0" xfId="0" applyFont="1" applyBorder="1"/>
    <xf numFmtId="0" fontId="5" fillId="0" borderId="0" xfId="0" applyFont="1" applyBorder="1"/>
    <xf numFmtId="0" fontId="6" fillId="8" borderId="13" xfId="0" applyFont="1" applyFill="1" applyBorder="1" applyAlignment="1">
      <alignment horizontal="center" vertical="center"/>
    </xf>
    <xf numFmtId="0" fontId="8" fillId="0" borderId="12" xfId="0" applyFont="1" applyBorder="1"/>
    <xf numFmtId="0" fontId="11" fillId="0" borderId="14" xfId="0" applyFont="1" applyBorder="1"/>
    <xf numFmtId="0" fontId="6" fillId="0" borderId="0" xfId="0" applyFont="1" applyBorder="1"/>
    <xf numFmtId="0" fontId="6" fillId="8" borderId="0" xfId="0" applyFont="1" applyFill="1" applyBorder="1" applyAlignment="1">
      <alignment horizontal="center" vertical="center"/>
    </xf>
    <xf numFmtId="0" fontId="6" fillId="0" borderId="12" xfId="0" applyFont="1" applyBorder="1"/>
    <xf numFmtId="0" fontId="12" fillId="0" borderId="0" xfId="0" applyFont="1" applyBorder="1"/>
    <xf numFmtId="0" fontId="6" fillId="8" borderId="4" xfId="0" applyFont="1" applyFill="1" applyBorder="1" applyAlignment="1">
      <alignment horizontal="center" vertical="center"/>
    </xf>
    <xf numFmtId="0" fontId="11" fillId="0" borderId="15" xfId="0" applyFont="1" applyBorder="1" applyAlignment="1">
      <alignment vertical="center"/>
    </xf>
    <xf numFmtId="0" fontId="11" fillId="0" borderId="14" xfId="0" applyFont="1" applyBorder="1" applyAlignment="1">
      <alignment vertical="center"/>
    </xf>
    <xf numFmtId="0" fontId="6" fillId="0" borderId="6" xfId="0" applyFont="1" applyBorder="1" applyAlignment="1">
      <alignment horizontal="left" vertical="center"/>
    </xf>
    <xf numFmtId="0" fontId="6" fillId="0" borderId="6" xfId="0" applyFont="1" applyBorder="1"/>
    <xf numFmtId="0" fontId="6" fillId="0" borderId="16" xfId="0" applyFont="1" applyBorder="1"/>
    <xf numFmtId="0" fontId="7" fillId="0" borderId="6" xfId="0" applyFont="1" applyBorder="1"/>
    <xf numFmtId="0" fontId="7" fillId="0" borderId="0" xfId="0" applyFont="1" applyBorder="1"/>
    <xf numFmtId="0" fontId="6" fillId="0" borderId="0" xfId="0" applyFont="1" applyBorder="1" applyAlignment="1">
      <alignment horizontal="left" vertical="center"/>
    </xf>
    <xf numFmtId="0" fontId="7" fillId="0" borderId="13" xfId="0" applyFont="1" applyBorder="1"/>
    <xf numFmtId="0" fontId="7" fillId="0" borderId="6" xfId="0" applyFont="1" applyBorder="1" applyAlignment="1">
      <alignment vertical="center"/>
    </xf>
    <xf numFmtId="0" fontId="7" fillId="0" borderId="0" xfId="0" applyFont="1" applyBorder="1" applyAlignment="1">
      <alignment vertical="center"/>
    </xf>
    <xf numFmtId="0" fontId="11" fillId="0" borderId="17" xfId="0" applyFont="1" applyBorder="1" applyAlignment="1">
      <alignment vertical="center"/>
    </xf>
    <xf numFmtId="0" fontId="6" fillId="0" borderId="18" xfId="0" applyFont="1" applyBorder="1"/>
    <xf numFmtId="0" fontId="6" fillId="0" borderId="19" xfId="0" applyFont="1" applyBorder="1"/>
    <xf numFmtId="0" fontId="6" fillId="0" borderId="19" xfId="0" applyFont="1" applyBorder="1" applyAlignment="1">
      <alignment horizontal="center" vertical="center"/>
    </xf>
    <xf numFmtId="0" fontId="6" fillId="0" borderId="20" xfId="0" applyFont="1" applyBorder="1"/>
    <xf numFmtId="0" fontId="6" fillId="0" borderId="0" xfId="0" applyFont="1" applyAlignment="1">
      <alignment horizontal="center" vertical="center"/>
    </xf>
    <xf numFmtId="0" fontId="13" fillId="0" borderId="0" xfId="1" applyBorder="1"/>
    <xf numFmtId="0" fontId="13" fillId="0" borderId="0" xfId="1" applyBorder="1" applyAlignment="1">
      <alignment horizontal="center"/>
    </xf>
    <xf numFmtId="0" fontId="13" fillId="0" borderId="0" xfId="1"/>
    <xf numFmtId="0" fontId="14" fillId="3" borderId="21" xfId="1" applyFont="1" applyFill="1" applyBorder="1" applyAlignment="1">
      <alignment vertical="center"/>
    </xf>
    <xf numFmtId="0" fontId="13" fillId="0" borderId="21" xfId="1" applyFont="1" applyBorder="1"/>
    <xf numFmtId="0" fontId="13" fillId="0" borderId="6" xfId="1" applyFont="1" applyBorder="1"/>
    <xf numFmtId="0" fontId="13" fillId="0" borderId="6" xfId="1" applyFont="1" applyBorder="1" applyAlignment="1">
      <alignment horizontal="right"/>
    </xf>
    <xf numFmtId="0" fontId="13" fillId="0" borderId="1" xfId="1" quotePrefix="1" applyFont="1" applyBorder="1" applyAlignment="1">
      <alignment horizontal="center"/>
    </xf>
    <xf numFmtId="0" fontId="13" fillId="0" borderId="1" xfId="1" applyBorder="1" applyAlignment="1">
      <alignment horizontal="center"/>
    </xf>
    <xf numFmtId="0" fontId="13" fillId="0" borderId="1" xfId="1" quotePrefix="1" applyBorder="1" applyAlignment="1">
      <alignment horizontal="center"/>
    </xf>
    <xf numFmtId="0" fontId="15" fillId="0" borderId="22" xfId="1" applyFont="1" applyBorder="1"/>
    <xf numFmtId="0" fontId="13" fillId="0" borderId="6" xfId="1" applyFill="1" applyBorder="1" applyAlignment="1">
      <alignment horizontal="center"/>
    </xf>
    <xf numFmtId="0" fontId="13" fillId="0" borderId="0" xfId="1" applyFill="1" applyBorder="1" applyAlignment="1">
      <alignment horizontal="center"/>
    </xf>
    <xf numFmtId="0" fontId="13" fillId="4" borderId="0" xfId="1" applyFill="1" applyBorder="1" applyAlignment="1">
      <alignment horizontal="center"/>
    </xf>
    <xf numFmtId="0" fontId="13" fillId="2" borderId="0" xfId="1" applyFill="1" applyBorder="1" applyAlignment="1">
      <alignment horizontal="center"/>
    </xf>
    <xf numFmtId="0" fontId="13" fillId="5" borderId="0" xfId="1" applyFill="1" applyBorder="1" applyAlignment="1">
      <alignment horizontal="center"/>
    </xf>
    <xf numFmtId="0" fontId="13" fillId="9" borderId="0" xfId="1" applyFill="1" applyBorder="1" applyAlignment="1">
      <alignment horizontal="center"/>
    </xf>
    <xf numFmtId="0" fontId="13" fillId="10" borderId="0" xfId="1" applyFill="1" applyBorder="1" applyAlignment="1">
      <alignment horizontal="center"/>
    </xf>
    <xf numFmtId="0" fontId="13" fillId="0" borderId="22" xfId="1" applyFont="1" applyBorder="1"/>
    <xf numFmtId="0" fontId="13" fillId="0" borderId="0" xfId="1" applyFont="1" applyBorder="1"/>
    <xf numFmtId="0" fontId="13" fillId="0" borderId="1" xfId="1" applyFont="1" applyBorder="1" applyAlignment="1">
      <alignment horizontal="center"/>
    </xf>
    <xf numFmtId="0" fontId="13" fillId="0" borderId="0" xfId="1" applyFont="1"/>
    <xf numFmtId="0" fontId="13" fillId="0" borderId="0" xfId="1" applyFont="1" applyBorder="1" applyAlignment="1">
      <alignment horizontal="center"/>
    </xf>
    <xf numFmtId="0" fontId="15" fillId="0" borderId="21" xfId="1" applyFont="1" applyBorder="1"/>
    <xf numFmtId="0" fontId="13" fillId="0" borderId="6" xfId="1" applyFont="1" applyBorder="1" applyAlignment="1">
      <alignment horizontal="center"/>
    </xf>
    <xf numFmtId="0" fontId="13" fillId="0" borderId="1" xfId="1" applyFont="1" applyFill="1" applyBorder="1" applyAlignment="1">
      <alignment horizontal="center"/>
    </xf>
    <xf numFmtId="0" fontId="13" fillId="0" borderId="23" xfId="1" applyFont="1" applyBorder="1"/>
    <xf numFmtId="0" fontId="13" fillId="0" borderId="0" xfId="1" applyAlignment="1">
      <alignment horizontal="center"/>
    </xf>
    <xf numFmtId="0" fontId="16" fillId="0" borderId="0" xfId="2"/>
    <xf numFmtId="0" fontId="16" fillId="0" borderId="12" xfId="2" applyBorder="1"/>
    <xf numFmtId="0" fontId="16" fillId="0" borderId="0" xfId="2" applyBorder="1"/>
    <xf numFmtId="0" fontId="16" fillId="0" borderId="10" xfId="2" applyBorder="1"/>
    <xf numFmtId="0" fontId="16" fillId="0" borderId="18" xfId="2" applyBorder="1"/>
    <xf numFmtId="0" fontId="16" fillId="0" borderId="19" xfId="2" applyBorder="1"/>
    <xf numFmtId="0" fontId="16" fillId="0" borderId="20" xfId="2" applyBorder="1"/>
    <xf numFmtId="4" fontId="1" fillId="0" borderId="0" xfId="0" applyNumberFormat="1" applyFont="1" applyAlignment="1">
      <alignment horizontal="center"/>
    </xf>
    <xf numFmtId="0" fontId="5" fillId="0" borderId="24" xfId="0" applyFont="1" applyBorder="1" applyAlignment="1">
      <alignment vertical="center"/>
    </xf>
    <xf numFmtId="4" fontId="6" fillId="0" borderId="0" xfId="0" applyNumberFormat="1" applyFont="1" applyAlignment="1">
      <alignment vertical="center"/>
    </xf>
    <xf numFmtId="0" fontId="19" fillId="0" borderId="0" xfId="0" applyFont="1" applyAlignment="1">
      <alignment vertical="center"/>
    </xf>
    <xf numFmtId="4" fontId="1" fillId="0" borderId="0" xfId="0" applyNumberFormat="1" applyFont="1" applyBorder="1" applyAlignment="1">
      <alignment vertical="center"/>
    </xf>
    <xf numFmtId="0" fontId="6" fillId="11" borderId="13" xfId="0" applyFont="1" applyFill="1" applyBorder="1" applyAlignment="1">
      <alignment horizontal="center" vertical="center"/>
    </xf>
    <xf numFmtId="0" fontId="6" fillId="10" borderId="13"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5" xfId="0" applyFont="1" applyFill="1" applyBorder="1" applyAlignment="1">
      <alignment horizontal="center" vertical="center"/>
    </xf>
    <xf numFmtId="0" fontId="6" fillId="8" borderId="25" xfId="0" applyFont="1" applyFill="1" applyBorder="1" applyAlignment="1">
      <alignment horizontal="center" vertical="center"/>
    </xf>
    <xf numFmtId="0" fontId="6" fillId="10" borderId="25"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23" xfId="0" applyFont="1" applyFill="1" applyBorder="1" applyAlignment="1">
      <alignment horizontal="center" vertical="center"/>
    </xf>
    <xf numFmtId="0" fontId="6" fillId="8" borderId="5" xfId="0" applyFont="1" applyFill="1" applyBorder="1" applyAlignment="1">
      <alignment horizontal="center" vertical="center"/>
    </xf>
    <xf numFmtId="0" fontId="6" fillId="10" borderId="5" xfId="0" applyFont="1" applyFill="1" applyBorder="1" applyAlignment="1">
      <alignment horizontal="center" vertical="center"/>
    </xf>
    <xf numFmtId="0" fontId="10" fillId="0" borderId="1" xfId="0" applyFont="1" applyFill="1" applyBorder="1" applyAlignment="1">
      <alignment horizontal="center" vertical="center"/>
    </xf>
    <xf numFmtId="0" fontId="6" fillId="10" borderId="16" xfId="0" applyFont="1" applyFill="1" applyBorder="1" applyAlignment="1">
      <alignment horizontal="center" vertical="center"/>
    </xf>
    <xf numFmtId="0" fontId="13" fillId="0" borderId="5" xfId="1" applyBorder="1"/>
    <xf numFmtId="0" fontId="13" fillId="0" borderId="5" xfId="1" applyBorder="1" applyAlignment="1">
      <alignment horizontal="center"/>
    </xf>
    <xf numFmtId="0" fontId="13" fillId="0" borderId="2" xfId="1" applyBorder="1" applyAlignment="1">
      <alignment horizontal="center"/>
    </xf>
    <xf numFmtId="0" fontId="4" fillId="0" borderId="0" xfId="0" applyNumberFormat="1" applyFont="1" applyBorder="1" applyAlignment="1">
      <alignment horizontal="center" vertical="center"/>
    </xf>
    <xf numFmtId="0" fontId="10" fillId="0" borderId="26" xfId="0" applyFont="1" applyBorder="1" applyAlignment="1">
      <alignment horizontal="center" vertical="center"/>
    </xf>
    <xf numFmtId="0" fontId="6" fillId="8" borderId="5" xfId="0" quotePrefix="1" applyFont="1" applyFill="1" applyBorder="1" applyAlignment="1">
      <alignment horizontal="center" vertical="center"/>
    </xf>
    <xf numFmtId="0" fontId="6" fillId="8" borderId="0" xfId="0" quotePrefix="1" applyFont="1" applyFill="1" applyBorder="1" applyAlignment="1">
      <alignment horizontal="center" vertical="center"/>
    </xf>
    <xf numFmtId="0" fontId="6" fillId="8" borderId="16" xfId="0" quotePrefix="1" applyFont="1" applyFill="1" applyBorder="1" applyAlignment="1">
      <alignment horizontal="center" vertical="center"/>
    </xf>
    <xf numFmtId="0" fontId="6" fillId="8" borderId="13" xfId="0" quotePrefix="1" applyFont="1" applyFill="1" applyBorder="1" applyAlignment="1">
      <alignment horizontal="center" vertical="center"/>
    </xf>
    <xf numFmtId="0" fontId="6" fillId="8" borderId="25" xfId="0" quotePrefix="1" applyFont="1" applyFill="1" applyBorder="1" applyAlignment="1">
      <alignment horizontal="center" vertical="center"/>
    </xf>
    <xf numFmtId="0" fontId="13" fillId="0" borderId="6" xfId="1" applyBorder="1"/>
    <xf numFmtId="0" fontId="13" fillId="0" borderId="6" xfId="1" applyBorder="1" applyAlignment="1">
      <alignment horizontal="center"/>
    </xf>
    <xf numFmtId="0" fontId="13" fillId="0" borderId="23" xfId="1" applyBorder="1"/>
    <xf numFmtId="0" fontId="14" fillId="3" borderId="6" xfId="1" applyFont="1" applyFill="1" applyBorder="1" applyAlignment="1">
      <alignment horizontal="centerContinuous" vertical="center"/>
    </xf>
    <xf numFmtId="0" fontId="20" fillId="0" borderId="24" xfId="0" applyFont="1" applyBorder="1" applyAlignment="1">
      <alignment vertical="center"/>
    </xf>
    <xf numFmtId="0" fontId="18" fillId="0" borderId="7" xfId="0" applyFont="1" applyBorder="1" applyAlignment="1">
      <alignment vertical="center"/>
    </xf>
    <xf numFmtId="0" fontId="21" fillId="0" borderId="12" xfId="0" applyFont="1" applyBorder="1" applyAlignment="1">
      <alignment vertical="center"/>
    </xf>
    <xf numFmtId="0" fontId="18" fillId="0" borderId="0" xfId="0" applyFont="1" applyBorder="1" applyAlignment="1">
      <alignment vertical="center"/>
    </xf>
    <xf numFmtId="0" fontId="22" fillId="0" borderId="12" xfId="0" applyFont="1" applyBorder="1" applyAlignment="1">
      <alignment vertical="center"/>
    </xf>
    <xf numFmtId="0" fontId="18" fillId="0" borderId="18" xfId="0" applyFont="1" applyBorder="1" applyAlignment="1">
      <alignment vertical="center"/>
    </xf>
    <xf numFmtId="0" fontId="18" fillId="0" borderId="19" xfId="0" applyFont="1" applyBorder="1" applyAlignment="1">
      <alignment vertical="center"/>
    </xf>
    <xf numFmtId="0" fontId="18" fillId="0" borderId="24" xfId="0" applyFont="1" applyBorder="1" applyAlignment="1">
      <alignment vertical="center"/>
    </xf>
    <xf numFmtId="0" fontId="18" fillId="0" borderId="12" xfId="0" applyFont="1" applyBorder="1" applyAlignment="1">
      <alignment vertical="center"/>
    </xf>
    <xf numFmtId="0" fontId="18" fillId="0" borderId="0" xfId="0" applyFont="1" applyAlignment="1">
      <alignment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20" xfId="0"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vertical="center"/>
    </xf>
    <xf numFmtId="14" fontId="23" fillId="0" borderId="28" xfId="0" applyNumberFormat="1" applyFont="1" applyBorder="1" applyAlignment="1">
      <alignment horizontal="center" vertical="center"/>
    </xf>
    <xf numFmtId="0" fontId="24" fillId="0" borderId="19" xfId="0" applyFont="1" applyBorder="1" applyAlignment="1">
      <alignment horizontal="center" vertical="center"/>
    </xf>
    <xf numFmtId="0" fontId="24" fillId="0" borderId="19" xfId="0" applyFont="1" applyBorder="1" applyAlignment="1">
      <alignment vertical="center"/>
    </xf>
    <xf numFmtId="0" fontId="24" fillId="0" borderId="20" xfId="0" applyFont="1" applyBorder="1" applyAlignment="1">
      <alignment horizontal="center" vertical="center"/>
    </xf>
    <xf numFmtId="4" fontId="3" fillId="0" borderId="29" xfId="0" applyNumberFormat="1" applyFont="1" applyBorder="1" applyAlignment="1">
      <alignment horizontal="center" vertical="center" wrapText="1"/>
    </xf>
    <xf numFmtId="0" fontId="6" fillId="0" borderId="30" xfId="0" applyFont="1" applyBorder="1"/>
    <xf numFmtId="4" fontId="3" fillId="0" borderId="7" xfId="0" applyNumberFormat="1" applyFont="1" applyBorder="1" applyAlignment="1">
      <alignment horizontal="center" vertical="center" wrapText="1"/>
    </xf>
    <xf numFmtId="4" fontId="1" fillId="0" borderId="12" xfId="0" applyNumberFormat="1" applyFont="1" applyBorder="1" applyAlignment="1">
      <alignment vertical="center"/>
    </xf>
    <xf numFmtId="4" fontId="1" fillId="0" borderId="18" xfId="0" applyNumberFormat="1" applyFont="1" applyBorder="1" applyAlignment="1">
      <alignment vertical="center"/>
    </xf>
    <xf numFmtId="0" fontId="1" fillId="0" borderId="27" xfId="0" applyFont="1" applyBorder="1" applyAlignment="1">
      <alignment horizontal="center"/>
    </xf>
    <xf numFmtId="0" fontId="1" fillId="0" borderId="11" xfId="0" applyFont="1" applyBorder="1" applyAlignment="1">
      <alignment horizontal="right"/>
    </xf>
    <xf numFmtId="14" fontId="2" fillId="0" borderId="11" xfId="0" applyNumberFormat="1" applyFont="1" applyBorder="1" applyAlignment="1">
      <alignment horizontal="centerContinuous" vertical="center"/>
    </xf>
    <xf numFmtId="14" fontId="1" fillId="0" borderId="1" xfId="0" applyNumberFormat="1" applyFont="1" applyBorder="1" applyAlignment="1">
      <alignment horizontal="centerContinuous" vertical="center"/>
    </xf>
    <xf numFmtId="14" fontId="1" fillId="0" borderId="11" xfId="0" applyNumberFormat="1" applyFont="1" applyBorder="1" applyAlignment="1">
      <alignment horizontal="centerContinuous" vertical="center"/>
    </xf>
    <xf numFmtId="0" fontId="25" fillId="12" borderId="23" xfId="0" applyFont="1" applyFill="1" applyBorder="1" applyAlignment="1">
      <alignment horizontal="center"/>
    </xf>
    <xf numFmtId="0" fontId="25" fillId="12" borderId="4" xfId="0" applyFont="1" applyFill="1" applyBorder="1" applyAlignment="1">
      <alignment horizontal="center"/>
    </xf>
    <xf numFmtId="14" fontId="25" fillId="12" borderId="13" xfId="0" applyNumberFormat="1" applyFont="1" applyFill="1" applyBorder="1" applyAlignment="1">
      <alignment horizontal="center" vertical="center"/>
    </xf>
    <xf numFmtId="14" fontId="25" fillId="12" borderId="0" xfId="0" applyNumberFormat="1" applyFont="1" applyFill="1" applyBorder="1" applyAlignment="1">
      <alignment horizontal="center" vertical="center"/>
    </xf>
    <xf numFmtId="0" fontId="3" fillId="0" borderId="1" xfId="0" applyFont="1" applyBorder="1"/>
    <xf numFmtId="0" fontId="1" fillId="0" borderId="11" xfId="0" applyFont="1" applyBorder="1" applyAlignment="1" applyProtection="1">
      <alignment horizontal="center" vertical="center"/>
      <protection locked="0"/>
    </xf>
    <xf numFmtId="0" fontId="1" fillId="13" borderId="11" xfId="0" applyFont="1" applyFill="1" applyBorder="1" applyAlignment="1" applyProtection="1">
      <alignment horizontal="center" vertical="center"/>
      <protection locked="0"/>
    </xf>
    <xf numFmtId="0" fontId="1" fillId="13" borderId="2" xfId="0" applyFont="1" applyFill="1" applyBorder="1" applyAlignment="1" applyProtection="1">
      <alignment horizontal="center" vertical="center"/>
      <protection locked="0"/>
    </xf>
    <xf numFmtId="0" fontId="1" fillId="0" borderId="1" xfId="0" applyFont="1" applyBorder="1"/>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26" xfId="0" applyFont="1" applyBorder="1" applyAlignment="1">
      <alignment horizontal="center"/>
    </xf>
    <xf numFmtId="0" fontId="4" fillId="0" borderId="26" xfId="0" applyNumberFormat="1" applyFont="1" applyBorder="1" applyAlignment="1">
      <alignment horizontal="center" vertical="center"/>
    </xf>
    <xf numFmtId="0" fontId="1" fillId="0" borderId="3" xfId="0" applyFont="1" applyBorder="1" applyAlignment="1">
      <alignment horizontal="center"/>
    </xf>
    <xf numFmtId="0" fontId="4" fillId="0" borderId="3" xfId="0" applyNumberFormat="1" applyFont="1" applyBorder="1" applyAlignment="1">
      <alignment horizontal="center" vertical="center"/>
    </xf>
    <xf numFmtId="0" fontId="1" fillId="0" borderId="4" xfId="0" applyFont="1" applyBorder="1" applyAlignment="1">
      <alignment horizontal="center"/>
    </xf>
    <xf numFmtId="0" fontId="4" fillId="0" borderId="4" xfId="0" applyNumberFormat="1" applyFont="1" applyBorder="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5" fillId="0" borderId="1" xfId="0" applyFont="1" applyBorder="1" applyAlignment="1">
      <alignment horizontal="center" vertical="center"/>
    </xf>
    <xf numFmtId="0" fontId="6" fillId="11" borderId="21" xfId="0" applyFont="1" applyFill="1" applyBorder="1" applyAlignment="1">
      <alignment horizontal="center" vertical="center"/>
    </xf>
    <xf numFmtId="0" fontId="6" fillId="10" borderId="22" xfId="0" applyFont="1" applyFill="1" applyBorder="1" applyAlignment="1">
      <alignment horizontal="center" vertical="center"/>
    </xf>
    <xf numFmtId="0" fontId="6" fillId="8" borderId="22" xfId="0" applyFont="1" applyFill="1" applyBorder="1" applyAlignment="1">
      <alignment horizontal="center" vertical="center"/>
    </xf>
    <xf numFmtId="0" fontId="6" fillId="11" borderId="22" xfId="0" applyFont="1" applyFill="1" applyBorder="1" applyAlignment="1">
      <alignment horizontal="center" vertical="center"/>
    </xf>
    <xf numFmtId="0" fontId="6" fillId="8" borderId="23" xfId="0" quotePrefix="1" applyFont="1" applyFill="1" applyBorder="1" applyAlignment="1">
      <alignment horizontal="center" vertical="center"/>
    </xf>
    <xf numFmtId="0" fontId="6" fillId="11" borderId="23" xfId="0" applyFont="1" applyFill="1" applyBorder="1" applyAlignment="1">
      <alignment horizontal="center" vertical="center"/>
    </xf>
    <xf numFmtId="0" fontId="4" fillId="0" borderId="3" xfId="0" applyNumberFormat="1" applyFont="1" applyBorder="1" applyAlignment="1">
      <alignment horizontal="center" vertical="center" wrapText="1"/>
    </xf>
    <xf numFmtId="0" fontId="2" fillId="0" borderId="0" xfId="0" applyFont="1" applyAlignment="1">
      <alignment vertical="center"/>
    </xf>
    <xf numFmtId="14" fontId="2" fillId="0" borderId="6" xfId="0" applyNumberFormat="1" applyFont="1" applyBorder="1" applyAlignment="1">
      <alignment horizontal="left" vertical="center" wrapText="1"/>
    </xf>
    <xf numFmtId="4" fontId="17" fillId="0" borderId="0" xfId="0" applyNumberFormat="1" applyFont="1" applyBorder="1" applyAlignment="1">
      <alignment horizontal="center" vertical="center"/>
    </xf>
    <xf numFmtId="0" fontId="17" fillId="0" borderId="0" xfId="0" applyFont="1" applyAlignment="1">
      <alignment vertical="center"/>
    </xf>
    <xf numFmtId="0" fontId="17" fillId="0" borderId="1" xfId="0" applyFont="1" applyBorder="1" applyAlignment="1">
      <alignment horizontal="left" vertical="center"/>
    </xf>
    <xf numFmtId="0" fontId="17" fillId="0" borderId="1" xfId="0" applyFont="1" applyBorder="1" applyAlignment="1">
      <alignment vertical="center"/>
    </xf>
    <xf numFmtId="0" fontId="26" fillId="0" borderId="0" xfId="0" applyFont="1" applyAlignment="1">
      <alignment vertical="center" wrapText="1"/>
    </xf>
    <xf numFmtId="0" fontId="17" fillId="0" borderId="0" xfId="0" applyFont="1" applyBorder="1" applyAlignment="1">
      <alignment horizontal="left" vertical="center"/>
    </xf>
    <xf numFmtId="0" fontId="17" fillId="0" borderId="0" xfId="0" applyFont="1" applyBorder="1" applyAlignment="1">
      <alignment vertical="center"/>
    </xf>
    <xf numFmtId="0" fontId="2" fillId="0" borderId="5" xfId="0" applyFont="1" applyBorder="1" applyAlignment="1">
      <alignment vertical="center"/>
    </xf>
    <xf numFmtId="0" fontId="17" fillId="0" borderId="0" xfId="0" applyFont="1" applyAlignment="1">
      <alignment horizontal="left" vertical="center"/>
    </xf>
    <xf numFmtId="0" fontId="17" fillId="0" borderId="1" xfId="0" applyFont="1" applyBorder="1" applyAlignment="1">
      <alignment horizontal="center" vertical="center"/>
    </xf>
    <xf numFmtId="0" fontId="27" fillId="0" borderId="27" xfId="0" applyFont="1" applyBorder="1" applyAlignment="1">
      <alignment vertical="center"/>
    </xf>
    <xf numFmtId="0" fontId="27" fillId="0" borderId="1" xfId="0" applyFont="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wrapText="1"/>
    </xf>
    <xf numFmtId="0" fontId="17" fillId="0" borderId="3" xfId="0" applyFont="1" applyBorder="1" applyAlignment="1">
      <alignment vertical="center" wrapText="1"/>
    </xf>
    <xf numFmtId="4" fontId="17" fillId="0" borderId="26" xfId="0" applyNumberFormat="1" applyFont="1" applyBorder="1" applyAlignment="1">
      <alignment horizontal="center" vertical="center"/>
    </xf>
    <xf numFmtId="4" fontId="17" fillId="0" borderId="16" xfId="0" applyNumberFormat="1" applyFont="1" applyBorder="1" applyAlignment="1">
      <alignment horizontal="center" vertical="center"/>
    </xf>
    <xf numFmtId="4" fontId="17" fillId="0" borderId="3" xfId="0" applyNumberFormat="1" applyFont="1" applyBorder="1" applyAlignment="1">
      <alignment horizontal="center" vertical="center"/>
    </xf>
    <xf numFmtId="4" fontId="17" fillId="0" borderId="13" xfId="0" applyNumberFormat="1" applyFont="1" applyBorder="1" applyAlignment="1">
      <alignment horizontal="center" vertical="center"/>
    </xf>
    <xf numFmtId="0" fontId="2" fillId="0" borderId="3" xfId="0" applyFont="1" applyBorder="1" applyAlignment="1">
      <alignment horizontal="right" vertical="center"/>
    </xf>
    <xf numFmtId="4" fontId="17" fillId="0" borderId="4" xfId="0" applyNumberFormat="1" applyFont="1" applyBorder="1" applyAlignment="1">
      <alignment horizontal="center" vertical="center"/>
    </xf>
    <xf numFmtId="4" fontId="17" fillId="0" borderId="25" xfId="0" applyNumberFormat="1" applyFont="1" applyBorder="1" applyAlignment="1">
      <alignment horizontal="center" vertical="center"/>
    </xf>
    <xf numFmtId="0" fontId="27" fillId="0" borderId="1" xfId="0" applyFont="1" applyBorder="1" applyAlignment="1">
      <alignment vertical="center"/>
    </xf>
    <xf numFmtId="0" fontId="17" fillId="0" borderId="26" xfId="0" applyFont="1" applyBorder="1" applyAlignment="1">
      <alignment horizontal="center" vertical="center"/>
    </xf>
    <xf numFmtId="0" fontId="17" fillId="0" borderId="26" xfId="0" applyFont="1" applyBorder="1" applyAlignment="1">
      <alignment vertical="center" wrapText="1"/>
    </xf>
    <xf numFmtId="0" fontId="17" fillId="0" borderId="4" xfId="0" applyFont="1" applyBorder="1" applyAlignment="1">
      <alignment vertical="center" wrapText="1"/>
    </xf>
    <xf numFmtId="0" fontId="27" fillId="7" borderId="27" xfId="0" applyFont="1" applyFill="1" applyBorder="1" applyAlignment="1">
      <alignment vertical="center" wrapText="1"/>
    </xf>
    <xf numFmtId="0" fontId="17" fillId="0" borderId="22" xfId="0" applyFont="1" applyBorder="1" applyAlignment="1">
      <alignment horizontal="left" vertical="center"/>
    </xf>
    <xf numFmtId="0" fontId="17" fillId="0" borderId="0" xfId="0" applyFont="1" applyBorder="1" applyAlignment="1">
      <alignment vertical="center" wrapText="1"/>
    </xf>
    <xf numFmtId="0" fontId="27" fillId="7" borderId="2" xfId="0" applyFont="1" applyFill="1" applyBorder="1" applyAlignment="1">
      <alignment vertical="center" wrapText="1"/>
    </xf>
    <xf numFmtId="0" fontId="17" fillId="0" borderId="23" xfId="0" applyFont="1" applyBorder="1" applyAlignment="1">
      <alignment horizontal="center" vertical="center"/>
    </xf>
    <xf numFmtId="0" fontId="17" fillId="0" borderId="5" xfId="0" applyFont="1" applyBorder="1" applyAlignment="1">
      <alignment vertical="center"/>
    </xf>
    <xf numFmtId="0" fontId="27" fillId="7" borderId="26" xfId="0" applyFont="1" applyFill="1" applyBorder="1" applyAlignment="1">
      <alignment horizontal="center" vertical="center"/>
    </xf>
    <xf numFmtId="0" fontId="17" fillId="0" borderId="5" xfId="0" applyFont="1" applyBorder="1" applyAlignment="1">
      <alignment vertical="center" wrapText="1"/>
    </xf>
    <xf numFmtId="4" fontId="17" fillId="0" borderId="0" xfId="0" applyNumberFormat="1" applyFont="1" applyAlignment="1">
      <alignment horizontal="center" vertical="center"/>
    </xf>
    <xf numFmtId="0" fontId="18" fillId="0" borderId="0" xfId="0" applyFont="1" applyAlignment="1"/>
    <xf numFmtId="0" fontId="17" fillId="0" borderId="0" xfId="0" applyFont="1" applyBorder="1" applyAlignment="1">
      <alignment horizontal="center" vertical="center"/>
    </xf>
    <xf numFmtId="0" fontId="17" fillId="0" borderId="22" xfId="0" applyFont="1" applyBorder="1" applyAlignment="1">
      <alignment vertical="center" wrapText="1"/>
    </xf>
    <xf numFmtId="0" fontId="22" fillId="0" borderId="18" xfId="0" applyFont="1" applyBorder="1" applyAlignment="1">
      <alignment vertical="center"/>
    </xf>
    <xf numFmtId="49" fontId="4" fillId="0" borderId="26" xfId="0" applyNumberFormat="1" applyFont="1" applyBorder="1" applyAlignment="1">
      <alignment horizontal="center" vertical="center"/>
    </xf>
    <xf numFmtId="0" fontId="27" fillId="7" borderId="1" xfId="0" applyNumberFormat="1" applyFont="1" applyFill="1" applyBorder="1" applyAlignment="1">
      <alignment horizontal="center" vertical="center"/>
    </xf>
    <xf numFmtId="0" fontId="13" fillId="0" borderId="11" xfId="1" applyBorder="1"/>
    <xf numFmtId="0" fontId="28" fillId="0" borderId="0" xfId="1" applyFont="1"/>
    <xf numFmtId="0" fontId="29" fillId="0" borderId="0" xfId="0" applyFont="1"/>
    <xf numFmtId="0" fontId="29" fillId="0" borderId="0" xfId="0" applyFont="1" applyAlignment="1">
      <alignment vertical="center"/>
    </xf>
    <xf numFmtId="0" fontId="29" fillId="0" borderId="0" xfId="0" applyFont="1" applyAlignment="1"/>
    <xf numFmtId="0" fontId="31" fillId="15" borderId="1" xfId="1" applyFont="1" applyFill="1" applyBorder="1" applyAlignment="1">
      <alignment horizontal="center" vertical="center"/>
    </xf>
    <xf numFmtId="0" fontId="18" fillId="14" borderId="0" xfId="0" applyFont="1" applyFill="1"/>
    <xf numFmtId="0" fontId="4" fillId="0" borderId="4" xfId="0" quotePrefix="1" applyNumberFormat="1" applyFont="1" applyBorder="1" applyAlignment="1">
      <alignment horizontal="center" vertical="center"/>
    </xf>
    <xf numFmtId="0" fontId="17" fillId="0" borderId="0" xfId="0" applyFont="1" applyAlignment="1">
      <alignment wrapText="1"/>
    </xf>
    <xf numFmtId="0" fontId="17"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xf>
    <xf numFmtId="0" fontId="18" fillId="0" borderId="0" xfId="0" applyFont="1"/>
    <xf numFmtId="4" fontId="1" fillId="0" borderId="0" xfId="0" applyNumberFormat="1" applyFont="1" applyAlignment="1">
      <alignment horizontal="center"/>
    </xf>
    <xf numFmtId="0" fontId="18" fillId="0" borderId="12" xfId="0" applyFont="1" applyBorder="1" applyAlignment="1">
      <alignment vertical="center"/>
    </xf>
    <xf numFmtId="14" fontId="2" fillId="0" borderId="11" xfId="0" applyNumberFormat="1" applyFont="1" applyBorder="1" applyAlignment="1">
      <alignment horizontal="centerContinuous" vertical="center"/>
    </xf>
    <xf numFmtId="14" fontId="1" fillId="0" borderId="1" xfId="0" applyNumberFormat="1" applyFont="1" applyBorder="1" applyAlignment="1">
      <alignment horizontal="centerContinuous" vertical="center"/>
    </xf>
    <xf numFmtId="14" fontId="1" fillId="0" borderId="11" xfId="0" applyNumberFormat="1" applyFont="1" applyBorder="1" applyAlignment="1">
      <alignment horizontal="centerContinuous" vertical="center"/>
    </xf>
    <xf numFmtId="14" fontId="25" fillId="12" borderId="13" xfId="0" applyNumberFormat="1" applyFont="1" applyFill="1" applyBorder="1" applyAlignment="1">
      <alignment horizontal="center" vertical="center"/>
    </xf>
    <xf numFmtId="14" fontId="25" fillId="12" borderId="0" xfId="0" applyNumberFormat="1"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13" borderId="11" xfId="0" applyFont="1" applyFill="1" applyBorder="1" applyAlignment="1" applyProtection="1">
      <alignment horizontal="center" vertical="center"/>
      <protection locked="0"/>
    </xf>
    <xf numFmtId="0" fontId="1" fillId="13" borderId="2"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4" fillId="0" borderId="26"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49" fontId="4" fillId="0" borderId="26" xfId="0" applyNumberFormat="1" applyFont="1" applyBorder="1" applyAlignment="1">
      <alignment horizontal="center" vertical="center"/>
    </xf>
    <xf numFmtId="0" fontId="18" fillId="14" borderId="1" xfId="0" applyFont="1" applyFill="1" applyBorder="1" applyAlignment="1">
      <alignment horizontal="center" vertical="center"/>
    </xf>
    <xf numFmtId="0" fontId="13" fillId="0" borderId="0" xfId="1" applyBorder="1"/>
    <xf numFmtId="0" fontId="13" fillId="0" borderId="0" xfId="1" applyBorder="1" applyAlignment="1">
      <alignment horizontal="center"/>
    </xf>
    <xf numFmtId="0" fontId="13" fillId="0" borderId="0" xfId="1"/>
    <xf numFmtId="0" fontId="13" fillId="2" borderId="0" xfId="1" applyFill="1" applyBorder="1" applyAlignment="1">
      <alignment horizontal="center"/>
    </xf>
    <xf numFmtId="0" fontId="13" fillId="0" borderId="22" xfId="1" applyFont="1" applyBorder="1"/>
    <xf numFmtId="0" fontId="13" fillId="0" borderId="1" xfId="1" applyFont="1" applyFill="1" applyBorder="1" applyAlignment="1">
      <alignment horizontal="center"/>
    </xf>
    <xf numFmtId="0" fontId="23" fillId="0" borderId="1" xfId="0" applyFont="1" applyBorder="1" applyAlignment="1">
      <alignment horizontal="center" vertical="center"/>
    </xf>
    <xf numFmtId="0" fontId="23" fillId="0" borderId="27" xfId="0" applyFont="1" applyBorder="1" applyAlignment="1">
      <alignment vertical="center"/>
    </xf>
    <xf numFmtId="14" fontId="23" fillId="0" borderId="28" xfId="0" applyNumberFormat="1" applyFont="1" applyBorder="1" applyAlignment="1">
      <alignment horizontal="center" vertical="center"/>
    </xf>
    <xf numFmtId="0" fontId="19" fillId="0" borderId="0" xfId="2" applyFont="1"/>
    <xf numFmtId="0" fontId="16" fillId="6" borderId="31" xfId="2" applyFill="1" applyBorder="1" applyAlignment="1">
      <alignment horizontal="center" vertical="top" wrapText="1"/>
    </xf>
    <xf numFmtId="0" fontId="16" fillId="6" borderId="32" xfId="2" applyFill="1" applyBorder="1" applyAlignment="1">
      <alignment horizontal="center" vertical="top" wrapText="1"/>
    </xf>
    <xf numFmtId="0" fontId="16" fillId="6" borderId="33" xfId="2" applyFill="1" applyBorder="1" applyAlignment="1">
      <alignment horizontal="center" vertical="top" wrapText="1"/>
    </xf>
    <xf numFmtId="0" fontId="16" fillId="6" borderId="34" xfId="2" applyFill="1" applyBorder="1" applyAlignment="1">
      <alignment horizontal="center" vertical="top" wrapText="1"/>
    </xf>
    <xf numFmtId="0" fontId="16" fillId="6" borderId="0" xfId="2" applyFill="1" applyBorder="1" applyAlignment="1">
      <alignment horizontal="center" vertical="top" wrapText="1"/>
    </xf>
    <xf numFmtId="0" fontId="16" fillId="6" borderId="35" xfId="2" applyFill="1" applyBorder="1" applyAlignment="1">
      <alignment horizontal="center" vertical="top" wrapText="1"/>
    </xf>
    <xf numFmtId="0" fontId="16" fillId="6" borderId="36" xfId="2" applyFill="1" applyBorder="1" applyAlignment="1">
      <alignment horizontal="center" vertical="top" wrapText="1"/>
    </xf>
    <xf numFmtId="0" fontId="16" fillId="6" borderId="37" xfId="2" applyFill="1" applyBorder="1" applyAlignment="1">
      <alignment horizontal="center" vertical="top" wrapText="1"/>
    </xf>
    <xf numFmtId="0" fontId="16" fillId="6" borderId="38" xfId="2" applyFill="1" applyBorder="1" applyAlignment="1">
      <alignment horizontal="center" vertical="top"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4" fillId="3" borderId="2" xfId="1" applyFont="1" applyFill="1" applyBorder="1" applyAlignment="1">
      <alignment horizontal="center" vertical="center"/>
    </xf>
    <xf numFmtId="0" fontId="23" fillId="0" borderId="26" xfId="0" applyFont="1" applyBorder="1" applyAlignment="1">
      <alignment horizontal="center" vertical="center"/>
    </xf>
    <xf numFmtId="0" fontId="23" fillId="0" borderId="4" xfId="0" applyFont="1" applyBorder="1" applyAlignment="1">
      <alignment horizontal="center" vertical="center"/>
    </xf>
    <xf numFmtId="0" fontId="18" fillId="14" borderId="27" xfId="0" applyFont="1" applyFill="1" applyBorder="1" applyAlignment="1">
      <alignment vertical="center"/>
    </xf>
    <xf numFmtId="0" fontId="18" fillId="14" borderId="2" xfId="0" applyFont="1" applyFill="1" applyBorder="1" applyAlignment="1">
      <alignment vertical="center"/>
    </xf>
    <xf numFmtId="0" fontId="18" fillId="14" borderId="11" xfId="0" applyFont="1" applyFill="1" applyBorder="1" applyAlignment="1">
      <alignment vertical="center"/>
    </xf>
    <xf numFmtId="0" fontId="30" fillId="15" borderId="27" xfId="1" applyFont="1" applyFill="1" applyBorder="1" applyAlignment="1">
      <alignment horizontal="center" vertical="center"/>
    </xf>
    <xf numFmtId="0" fontId="30" fillId="15" borderId="2" xfId="1" applyFont="1" applyFill="1" applyBorder="1" applyAlignment="1">
      <alignment horizontal="center" vertical="center"/>
    </xf>
    <xf numFmtId="0" fontId="30" fillId="15" borderId="11" xfId="1" applyFont="1" applyFill="1" applyBorder="1" applyAlignment="1">
      <alignment horizontal="center" vertical="center"/>
    </xf>
    <xf numFmtId="0" fontId="32" fillId="15" borderId="1" xfId="0" applyFont="1" applyFill="1" applyBorder="1" applyAlignment="1">
      <alignment horizontal="center" vertical="center"/>
    </xf>
  </cellXfs>
  <cellStyles count="3">
    <cellStyle name="Normal" xfId="0" builtinId="0"/>
    <cellStyle name="Normal_P241 cortec" xfId="1" xr:uid="{00000000-0005-0000-0000-000001000000}"/>
    <cellStyle name="Normal_Templat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ist" dx="16" fmlaLink="Language!$A$3" fmlaRange="Language!$B$4:$B$5" noThreeD="1" sel="1" val="0"/>
</file>

<file path=xl/ctrlProps/ctrlProp2.xml><?xml version="1.0" encoding="utf-8"?>
<formControlPr xmlns="http://schemas.microsoft.com/office/spreadsheetml/2009/9/main" objectType="List" dx="16" fmlaLink="Database!$D$9" fmlaRange="Database!$E$10:$E$12" noThreeD="1" sel="1" val="0"/>
</file>

<file path=xl/ctrlProps/ctrlProp3.xml><?xml version="1.0" encoding="utf-8"?>
<formControlPr xmlns="http://schemas.microsoft.com/office/spreadsheetml/2009/9/main" objectType="List" dx="16" fmlaLink="Database!$D$14" fmlaRange="Database!$E$15" noThreeD="1" sel="1" val="0"/>
</file>

<file path=xl/ctrlProps/ctrlProp4.xml><?xml version="1.0" encoding="utf-8"?>
<formControlPr xmlns="http://schemas.microsoft.com/office/spreadsheetml/2009/9/main" objectType="List" dx="16" fmlaLink="Database!$D$5" fmlaRange="Database!$E$6:$E$7" noThreeD="1" sel="1" val="0"/>
</file>

<file path=xl/ctrlProps/ctrlProp5.xml><?xml version="1.0" encoding="utf-8"?>
<formControlPr xmlns="http://schemas.microsoft.com/office/spreadsheetml/2009/9/main" objectType="List" dx="16" fmlaLink="Database!$D$18" fmlaRange="Database!$E$19:$E$27" noThreeD="1" sel="9" val="0"/>
</file>

<file path=xl/ctrlProps/ctrlProp6.xml><?xml version="1.0" encoding="utf-8"?>
<formControlPr xmlns="http://schemas.microsoft.com/office/spreadsheetml/2009/9/main" objectType="List" dx="16" fmlaLink="Database!$D$33" fmlaRange="Database!$E$34:$E$42" noThreeD="1" sel="1" val="0"/>
</file>

<file path=xl/ctrlProps/ctrlProp7.xml><?xml version="1.0" encoding="utf-8"?>
<formControlPr xmlns="http://schemas.microsoft.com/office/spreadsheetml/2009/9/main" objectType="List" dx="16" fmlaLink="Database!$D$45" fmlaRange="Database!$E$46:$E$54" noThreeD="1" sel="9" val="0"/>
</file>

<file path=xl/ctrlProps/ctrlProp8.xml><?xml version="1.0" encoding="utf-8"?>
<formControlPr xmlns="http://schemas.microsoft.com/office/spreadsheetml/2009/9/main" objectType="List" dx="16" fmlaLink="Database!$D$57" fmlaRange="Database!$E$58:$E$66" noThreeD="1" sel="9" val="0"/>
</file>

<file path=xl/ctrlProps/ctrlProp9.xml><?xml version="1.0" encoding="utf-8"?>
<formControlPr xmlns="http://schemas.microsoft.com/office/spreadsheetml/2009/9/main" objectType="List" dx="16" fmlaLink="Database!$D$69" fmlaRange="Database!$E$70:$E$78" noThreeD="1" sel="9" val="0"/>
</file>

<file path=xl/ctrlProps/ctrlProp10.xml><?xml version="1.0" encoding="utf-8"?>
<formControlPr xmlns="http://schemas.microsoft.com/office/spreadsheetml/2009/9/main" objectType="List" dx="16" fmlaLink="Database!$D$93" fmlaRange="Database!$E$94:$E$95" noThreeD="1" sel="1" val="0"/>
</file>

<file path=xl/ctrlProps/ctrlProp11.xml><?xml version="1.0" encoding="utf-8"?>
<formControlPr xmlns="http://schemas.microsoft.com/office/spreadsheetml/2009/9/main" objectType="List" dx="16" fmlaLink="Database!$D$81" fmlaRange="Database!$E$82:$E$90" noThreeD="1" sel="7" val="0"/>
</file>

<file path=xl/ctrlProps/ctrlProp12.xml><?xml version="1.0" encoding="utf-8"?>
<formControlPr xmlns="http://schemas.microsoft.com/office/spreadsheetml/2009/9/main" objectType="List" dx="16" fmlaLink="Database!$D$97" fmlaRange="Database!$E$9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47625</xdr:rowOff>
        </xdr:from>
        <xdr:to>
          <xdr:col>4</xdr:col>
          <xdr:colOff>0</xdr:colOff>
          <xdr:row>14</xdr:row>
          <xdr:rowOff>180975</xdr:rowOff>
        </xdr:to>
        <xdr:sp macro="" textlink="">
          <xdr:nvSpPr>
            <xdr:cNvPr id="6145" name="List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6</xdr:col>
          <xdr:colOff>0</xdr:colOff>
          <xdr:row>8</xdr:row>
          <xdr:rowOff>0</xdr:rowOff>
        </xdr:to>
        <xdr:sp macro="" textlink="">
          <xdr:nvSpPr>
            <xdr:cNvPr id="4097" name="List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6</xdr:col>
          <xdr:colOff>0</xdr:colOff>
          <xdr:row>10</xdr:row>
          <xdr:rowOff>0</xdr:rowOff>
        </xdr:to>
        <xdr:sp macro="" textlink="">
          <xdr:nvSpPr>
            <xdr:cNvPr id="4098" name="List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6</xdr:col>
          <xdr:colOff>0</xdr:colOff>
          <xdr:row>6</xdr:row>
          <xdr:rowOff>0</xdr:rowOff>
        </xdr:to>
        <xdr:sp macro="" textlink="">
          <xdr:nvSpPr>
            <xdr:cNvPr id="4099" name="List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6</xdr:col>
          <xdr:colOff>0</xdr:colOff>
          <xdr:row>12</xdr:row>
          <xdr:rowOff>0</xdr:rowOff>
        </xdr:to>
        <xdr:sp macro="" textlink="">
          <xdr:nvSpPr>
            <xdr:cNvPr id="4100" name="List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6</xdr:col>
          <xdr:colOff>0</xdr:colOff>
          <xdr:row>14</xdr:row>
          <xdr:rowOff>9525</xdr:rowOff>
        </xdr:to>
        <xdr:sp macro="" textlink="">
          <xdr:nvSpPr>
            <xdr:cNvPr id="4101" name="List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6</xdr:col>
          <xdr:colOff>0</xdr:colOff>
          <xdr:row>16</xdr:row>
          <xdr:rowOff>0</xdr:rowOff>
        </xdr:to>
        <xdr:sp macro="" textlink="">
          <xdr:nvSpPr>
            <xdr:cNvPr id="4102" name="List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6</xdr:col>
          <xdr:colOff>0</xdr:colOff>
          <xdr:row>18</xdr:row>
          <xdr:rowOff>0</xdr:rowOff>
        </xdr:to>
        <xdr:sp macro="" textlink="">
          <xdr:nvSpPr>
            <xdr:cNvPr id="4108" name="List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6</xdr:col>
          <xdr:colOff>0</xdr:colOff>
          <xdr:row>20</xdr:row>
          <xdr:rowOff>0</xdr:rowOff>
        </xdr:to>
        <xdr:sp macro="" textlink="">
          <xdr:nvSpPr>
            <xdr:cNvPr id="4119" name="List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6</xdr:col>
          <xdr:colOff>0</xdr:colOff>
          <xdr:row>24</xdr:row>
          <xdr:rowOff>0</xdr:rowOff>
        </xdr:to>
        <xdr:sp macro="" textlink="">
          <xdr:nvSpPr>
            <xdr:cNvPr id="4120" name="List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6</xdr:col>
          <xdr:colOff>0</xdr:colOff>
          <xdr:row>22</xdr:row>
          <xdr:rowOff>0</xdr:rowOff>
        </xdr:to>
        <xdr:sp macro="" textlink="">
          <xdr:nvSpPr>
            <xdr:cNvPr id="4123" name="List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6</xdr:col>
          <xdr:colOff>0</xdr:colOff>
          <xdr:row>26</xdr:row>
          <xdr:rowOff>0</xdr:rowOff>
        </xdr:to>
        <xdr:sp macro="" textlink="">
          <xdr:nvSpPr>
            <xdr:cNvPr id="4127" name="List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B1:J15"/>
  <sheetViews>
    <sheetView showGridLines="0" showRowColHeaders="0" tabSelected="1" workbookViewId="0">
      <selection activeCell="B24" sqref="B24"/>
    </sheetView>
  </sheetViews>
  <sheetFormatPr defaultColWidth="10.28515625" defaultRowHeight="14.25"/>
  <cols>
    <col min="1" max="1" width="4.140625" style="94" customWidth="1"/>
    <col min="2" max="9" width="11.42578125" style="94" customWidth="1"/>
    <col min="10" max="10" width="45.140625" style="94" customWidth="1"/>
    <col min="11" max="16384" width="10.28515625" style="94"/>
  </cols>
  <sheetData>
    <row r="1" spans="2:10" ht="20.25">
      <c r="B1" s="275" t="str">
        <f>HLOOKUP(Language!$C$3,Language!$E$1:$Z533,78,FALSE)</f>
        <v>THIS CORTEC FILE HAS BEEN REPLACED BY THE S20 CORTEC FILE</v>
      </c>
    </row>
    <row r="2" spans="2:10" ht="15" thickBot="1"/>
    <row r="3" spans="2:10" ht="15" customHeight="1" thickTop="1">
      <c r="B3" s="276" t="str">
        <f>HLOOKUP(Language!$C$3,Language!$E$1:$Z528,36,FALSE)</f>
        <v xml:space="preserve">Our policy is one of continuous development. Accordingly the design of our products may change at any time. </v>
      </c>
      <c r="C3" s="277"/>
      <c r="D3" s="277"/>
      <c r="E3" s="277"/>
      <c r="F3" s="277"/>
      <c r="G3" s="277"/>
      <c r="H3" s="277"/>
      <c r="I3" s="277"/>
      <c r="J3" s="278"/>
    </row>
    <row r="4" spans="2:10">
      <c r="B4" s="279" t="str">
        <f>HLOOKUP(Language!$C$3,Language!$E$1:$Z528,37,FALSE)</f>
        <v>Whilst every effort is made to produce up to date literature, this document should only be regarded as a guide and is intended for information purposes only.</v>
      </c>
      <c r="C4" s="280"/>
      <c r="D4" s="280"/>
      <c r="E4" s="280"/>
      <c r="F4" s="280"/>
      <c r="G4" s="280"/>
      <c r="H4" s="280"/>
      <c r="I4" s="280"/>
      <c r="J4" s="281"/>
    </row>
    <row r="5" spans="2:10">
      <c r="B5" s="279"/>
      <c r="C5" s="280"/>
      <c r="D5" s="280"/>
      <c r="E5" s="280"/>
      <c r="F5" s="280"/>
      <c r="G5" s="280"/>
      <c r="H5" s="280"/>
      <c r="I5" s="280"/>
      <c r="J5" s="281"/>
    </row>
    <row r="6" spans="2:10">
      <c r="B6" s="279" t="str">
        <f>HLOOKUP(Language!$C$3,Language!$E$1:$Z528,38,FALSE)</f>
        <v>Its contents do not constitute an offer for sale or advice on the application of any product referred to in it. We cannot be held responsible for any reliance on any decisions taken on its contents without specific advice.</v>
      </c>
      <c r="C6" s="280"/>
      <c r="D6" s="280"/>
      <c r="E6" s="280"/>
      <c r="F6" s="280"/>
      <c r="G6" s="280"/>
      <c r="H6" s="280"/>
      <c r="I6" s="280"/>
      <c r="J6" s="281"/>
    </row>
    <row r="7" spans="2:10">
      <c r="B7" s="279"/>
      <c r="C7" s="280"/>
      <c r="D7" s="280"/>
      <c r="E7" s="280"/>
      <c r="F7" s="280"/>
      <c r="G7" s="280"/>
      <c r="H7" s="280"/>
      <c r="I7" s="280"/>
      <c r="J7" s="281"/>
    </row>
    <row r="8" spans="2:10" ht="2.25" customHeight="1" thickBot="1">
      <c r="B8" s="282"/>
      <c r="C8" s="283"/>
      <c r="D8" s="283"/>
      <c r="E8" s="283"/>
      <c r="F8" s="283"/>
      <c r="G8" s="283"/>
      <c r="H8" s="283"/>
      <c r="I8" s="283"/>
      <c r="J8" s="284"/>
    </row>
    <row r="9" spans="2:10" ht="15" thickTop="1"/>
    <row r="10" spans="2:10" ht="15" thickBot="1"/>
    <row r="11" spans="2:10" ht="15.75">
      <c r="B11" s="285" t="str">
        <f>HLOOKUP(Language!$C$3,Language!$E$1:$Z528,39,FALSE)</f>
        <v>Language Selection</v>
      </c>
      <c r="C11" s="286"/>
      <c r="D11" s="287"/>
    </row>
    <row r="12" spans="2:10">
      <c r="B12" s="95"/>
      <c r="C12" s="96"/>
      <c r="D12" s="97"/>
    </row>
    <row r="13" spans="2:10">
      <c r="B13" s="95"/>
      <c r="C13" s="96"/>
      <c r="D13" s="97"/>
    </row>
    <row r="14" spans="2:10">
      <c r="B14" s="95"/>
      <c r="C14" s="96"/>
      <c r="D14" s="97"/>
    </row>
    <row r="15" spans="2:10" ht="15" thickBot="1">
      <c r="B15" s="98"/>
      <c r="C15" s="99"/>
      <c r="D15" s="100"/>
    </row>
  </sheetData>
  <sheetProtection password="C927" sheet="1" objects="1" scenarios="1"/>
  <mergeCells count="4">
    <mergeCell ref="B3:J3"/>
    <mergeCell ref="B4:J5"/>
    <mergeCell ref="B6:J8"/>
    <mergeCell ref="B11:D11"/>
  </mergeCells>
  <pageMargins left="0.511811024" right="0.511811024" top="0.78740157499999996" bottom="0.78740157499999996" header="0.31496062000000002" footer="0.31496062000000002"/>
  <drawing r:id="rId1"/>
  <legacyDrawing r:id="rId2"/>
  <mc:AlternateContent xmlns:mc="http://schemas.openxmlformats.org/markup-compatibility/2006">
    <mc:Choice Requires="x14">
      <controls>
        <mc:AlternateContent xmlns:mc="http://schemas.openxmlformats.org/markup-compatibility/2006">
          <mc:Choice Requires="x14">
            <control shapeId="6145" r:id="rId3" name="List Box 1">
              <controlPr defaultSize="0" autoLine="0" autoPict="0">
                <anchor moveWithCells="1">
                  <from>
                    <xdr:col>1</xdr:col>
                    <xdr:colOff>0</xdr:colOff>
                    <xdr:row>11</xdr:row>
                    <xdr:rowOff>47625</xdr:rowOff>
                  </from>
                  <to>
                    <xdr:col>4</xdr:col>
                    <xdr:colOff>0</xdr:colOff>
                    <xdr:row>14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P103"/>
  <sheetViews>
    <sheetView showGridLines="0" zoomScaleNormal="100" workbookViewId="0"/>
  </sheetViews>
  <sheetFormatPr defaultRowHeight="12.75"/>
  <cols>
    <col min="1" max="1" width="8.140625" style="68" customWidth="1"/>
    <col min="2" max="2" width="19" style="68" customWidth="1"/>
    <col min="3" max="3" width="103" style="68" customWidth="1"/>
    <col min="4" max="4" width="15.28515625" style="93" customWidth="1"/>
    <col min="5" max="7" width="2.7109375" style="93" customWidth="1"/>
    <col min="8" max="10" width="3.140625" style="93" bestFit="1" customWidth="1"/>
    <col min="11" max="13" width="3.140625" style="67" bestFit="1" customWidth="1"/>
    <col min="14" max="14" width="5.85546875" style="93" bestFit="1" customWidth="1"/>
    <col min="15" max="15" width="5.5703125" style="93" customWidth="1"/>
    <col min="16" max="16384" width="9.140625" style="68"/>
  </cols>
  <sheetData>
    <row r="1" spans="1:250" s="268" customFormat="1" ht="20.25">
      <c r="A1" s="275" t="str">
        <f>HLOOKUP(Language!$C$3,Language!$E$1:$Z533,78,FALSE)</f>
        <v>THIS CORTEC FILE HAS BEEN REPLACED BY THE S20 CORTEC FILE</v>
      </c>
      <c r="D1" s="93"/>
      <c r="E1" s="93"/>
      <c r="F1" s="93"/>
      <c r="G1" s="93"/>
      <c r="H1" s="93"/>
      <c r="I1" s="93"/>
      <c r="J1" s="93"/>
      <c r="K1" s="267"/>
      <c r="L1" s="267"/>
      <c r="M1" s="267"/>
      <c r="N1" s="93"/>
      <c r="O1" s="93"/>
    </row>
    <row r="2" spans="1:250">
      <c r="A2" s="66" t="str">
        <f>HLOOKUP(Language!$C$3,Language!$E$1:$Z528,33,FALSE)</f>
        <v>Information required with Order</v>
      </c>
      <c r="B2" s="66"/>
      <c r="C2" s="66"/>
      <c r="D2" s="66"/>
      <c r="E2" s="66"/>
      <c r="F2" s="66"/>
      <c r="G2" s="66"/>
      <c r="H2" s="66"/>
      <c r="I2" s="66"/>
      <c r="J2" s="66"/>
      <c r="K2" s="66"/>
      <c r="L2" s="66"/>
      <c r="M2" s="66"/>
      <c r="N2" s="66"/>
      <c r="O2" s="66"/>
    </row>
    <row r="3" spans="1:250">
      <c r="A3" s="66"/>
      <c r="B3" s="66"/>
      <c r="C3" s="66"/>
      <c r="D3" s="67"/>
      <c r="E3" s="67"/>
      <c r="F3" s="67"/>
      <c r="G3" s="67"/>
      <c r="H3" s="67"/>
      <c r="I3" s="67"/>
      <c r="J3" s="67"/>
      <c r="N3" s="67"/>
      <c r="O3" s="67"/>
    </row>
    <row r="4" spans="1:250" ht="15" customHeight="1">
      <c r="A4" s="69" t="str">
        <f>HLOOKUP(Language!$C$3,Language!$E$1:$Z528,34,FALSE)</f>
        <v>Variants</v>
      </c>
      <c r="B4" s="288"/>
      <c r="C4" s="288"/>
      <c r="D4" s="132" t="str">
        <f>HLOOKUP(Language!$C$3,Language!$E$1:$Z528,35,FALSE)</f>
        <v>Order Number</v>
      </c>
      <c r="E4" s="132"/>
      <c r="F4" s="132"/>
      <c r="G4" s="132"/>
      <c r="H4" s="132"/>
      <c r="I4" s="132"/>
      <c r="J4" s="132"/>
      <c r="K4" s="132"/>
      <c r="L4" s="132"/>
      <c r="M4" s="132"/>
      <c r="N4" s="132"/>
      <c r="O4" s="132"/>
    </row>
    <row r="5" spans="1:250">
      <c r="A5" s="70"/>
      <c r="B5" s="71"/>
      <c r="C5" s="72"/>
      <c r="D5" s="73" t="s">
        <v>124</v>
      </c>
      <c r="E5" s="74">
        <v>7</v>
      </c>
      <c r="F5" s="75">
        <v>8</v>
      </c>
      <c r="G5" s="73">
        <v>9</v>
      </c>
      <c r="H5" s="74">
        <v>10</v>
      </c>
      <c r="I5" s="74">
        <v>11</v>
      </c>
      <c r="J5" s="74">
        <v>12</v>
      </c>
      <c r="K5" s="74">
        <v>13</v>
      </c>
      <c r="L5" s="74">
        <v>14</v>
      </c>
      <c r="M5" s="74">
        <v>15</v>
      </c>
      <c r="N5" s="74" t="s">
        <v>115</v>
      </c>
      <c r="O5" s="74" t="s">
        <v>116</v>
      </c>
    </row>
    <row r="6" spans="1:250">
      <c r="A6" s="76" t="str">
        <f>Database!B2</f>
        <v>Model Type</v>
      </c>
      <c r="B6" s="66"/>
      <c r="C6" s="66"/>
      <c r="D6" s="77"/>
      <c r="E6" s="79"/>
      <c r="F6" s="80"/>
      <c r="G6" s="81"/>
      <c r="H6" s="79"/>
      <c r="I6" s="82"/>
      <c r="J6" s="83"/>
      <c r="K6" s="79"/>
      <c r="L6" s="82"/>
      <c r="M6" s="83"/>
      <c r="N6" s="79"/>
      <c r="O6" s="80"/>
    </row>
    <row r="7" spans="1:250">
      <c r="A7" s="84" t="str">
        <f ca="1">'Master Text'!A3</f>
        <v>S2024G Modular Managed Ethernet Switch</v>
      </c>
      <c r="B7" s="85"/>
      <c r="C7" s="85"/>
      <c r="D7" s="86" t="str">
        <f>Database!E3</f>
        <v>S2024G</v>
      </c>
      <c r="E7" s="79"/>
      <c r="F7" s="80"/>
      <c r="G7" s="81"/>
      <c r="H7" s="79"/>
      <c r="I7" s="82"/>
      <c r="J7" s="83"/>
      <c r="K7" s="79"/>
      <c r="L7" s="82"/>
      <c r="M7" s="83"/>
      <c r="N7" s="79"/>
      <c r="O7" s="80"/>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row>
    <row r="8" spans="1:250">
      <c r="A8" s="84"/>
      <c r="B8" s="85"/>
      <c r="C8" s="85"/>
      <c r="D8" s="88"/>
      <c r="E8" s="79"/>
      <c r="F8" s="80"/>
      <c r="G8" s="81"/>
      <c r="H8" s="79"/>
      <c r="I8" s="82"/>
      <c r="J8" s="83"/>
      <c r="K8" s="79"/>
      <c r="L8" s="82"/>
      <c r="M8" s="83"/>
      <c r="N8" s="79"/>
      <c r="O8" s="80"/>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row>
    <row r="9" spans="1:250">
      <c r="A9" s="89" t="str">
        <f>Database!B5</f>
        <v>Power Supply 1</v>
      </c>
      <c r="B9" s="71"/>
      <c r="C9" s="71"/>
      <c r="D9" s="90"/>
      <c r="E9" s="79"/>
      <c r="F9" s="80"/>
      <c r="G9" s="81"/>
      <c r="H9" s="79"/>
      <c r="I9" s="82"/>
      <c r="J9" s="83"/>
      <c r="K9" s="79"/>
      <c r="L9" s="82"/>
      <c r="M9" s="83"/>
      <c r="N9" s="79"/>
      <c r="O9" s="80"/>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row>
    <row r="10" spans="1:250">
      <c r="A10" s="84" t="str">
        <f ca="1">Database!E6</f>
        <v>24-48 Vdc</v>
      </c>
      <c r="B10" s="85"/>
      <c r="C10" s="85"/>
      <c r="D10" s="88"/>
      <c r="E10" s="91">
        <f ca="1">Database!F6</f>
        <v>1</v>
      </c>
      <c r="F10" s="80"/>
      <c r="G10" s="81"/>
      <c r="H10" s="79"/>
      <c r="I10" s="82"/>
      <c r="J10" s="83"/>
      <c r="K10" s="79"/>
      <c r="L10" s="82"/>
      <c r="M10" s="83"/>
      <c r="N10" s="79"/>
      <c r="O10" s="80"/>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row>
    <row r="11" spans="1:250">
      <c r="A11" s="84" t="str">
        <f ca="1">Database!E7</f>
        <v>100-250 Vdc / 110-240 Vac</v>
      </c>
      <c r="B11" s="85"/>
      <c r="C11" s="85"/>
      <c r="D11" s="88"/>
      <c r="E11" s="91">
        <f ca="1">Database!F7</f>
        <v>3</v>
      </c>
      <c r="F11" s="80"/>
      <c r="G11" s="81"/>
      <c r="H11" s="79"/>
      <c r="I11" s="82"/>
      <c r="J11" s="83"/>
      <c r="K11" s="79"/>
      <c r="L11" s="82"/>
      <c r="M11" s="83"/>
      <c r="N11" s="79"/>
      <c r="O11" s="80"/>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row>
    <row r="12" spans="1:250">
      <c r="A12" s="84"/>
      <c r="B12" s="85"/>
      <c r="C12" s="85"/>
      <c r="D12" s="88"/>
      <c r="E12" s="78"/>
      <c r="F12" s="80"/>
      <c r="G12" s="81"/>
      <c r="H12" s="79"/>
      <c r="I12" s="82"/>
      <c r="J12" s="83"/>
      <c r="K12" s="79"/>
      <c r="L12" s="82"/>
      <c r="M12" s="83"/>
      <c r="N12" s="79"/>
      <c r="O12" s="80"/>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row>
    <row r="13" spans="1:250">
      <c r="A13" s="89" t="str">
        <f>Database!B9</f>
        <v>Power Supply 2</v>
      </c>
      <c r="B13" s="71"/>
      <c r="C13" s="71"/>
      <c r="D13" s="90"/>
      <c r="E13" s="77"/>
      <c r="F13" s="80"/>
      <c r="G13" s="81"/>
      <c r="H13" s="79"/>
      <c r="I13" s="82"/>
      <c r="J13" s="83"/>
      <c r="K13" s="79"/>
      <c r="L13" s="82"/>
      <c r="M13" s="83"/>
      <c r="N13" s="79"/>
      <c r="O13" s="80"/>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row>
    <row r="14" spans="1:250">
      <c r="A14" s="84" t="str">
        <f ca="1">Database!E10</f>
        <v>24-48 Vdc</v>
      </c>
      <c r="B14" s="85"/>
      <c r="C14" s="85"/>
      <c r="D14" s="88"/>
      <c r="E14" s="78"/>
      <c r="F14" s="91">
        <f ca="1">Database!F10</f>
        <v>1</v>
      </c>
      <c r="G14" s="81"/>
      <c r="H14" s="79"/>
      <c r="I14" s="82"/>
      <c r="J14" s="83"/>
      <c r="K14" s="79"/>
      <c r="L14" s="82"/>
      <c r="M14" s="83"/>
      <c r="N14" s="79"/>
      <c r="O14" s="80"/>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row>
    <row r="15" spans="1:250">
      <c r="A15" s="84" t="str">
        <f ca="1">Database!E11</f>
        <v>100-250 Vdc / 110-240 Vac</v>
      </c>
      <c r="B15" s="85"/>
      <c r="C15" s="85"/>
      <c r="D15" s="88"/>
      <c r="E15" s="78"/>
      <c r="F15" s="91">
        <f ca="1">Database!F11</f>
        <v>3</v>
      </c>
      <c r="G15" s="81"/>
      <c r="H15" s="79"/>
      <c r="I15" s="82"/>
      <c r="J15" s="83"/>
      <c r="K15" s="79"/>
      <c r="L15" s="82"/>
      <c r="M15" s="83"/>
      <c r="N15" s="79"/>
      <c r="O15" s="80"/>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row>
    <row r="16" spans="1:250">
      <c r="A16" s="84" t="str">
        <f ca="1">Database!E12</f>
        <v>Not installed</v>
      </c>
      <c r="B16" s="85"/>
      <c r="C16" s="85"/>
      <c r="D16" s="88"/>
      <c r="E16" s="78"/>
      <c r="F16" s="91" t="str">
        <f ca="1">Database!F12</f>
        <v>X</v>
      </c>
      <c r="G16" s="81"/>
      <c r="H16" s="79"/>
      <c r="I16" s="82"/>
      <c r="J16" s="83"/>
      <c r="K16" s="79"/>
      <c r="L16" s="82"/>
      <c r="M16" s="83"/>
      <c r="N16" s="79"/>
      <c r="O16" s="80"/>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row>
    <row r="17" spans="1:250">
      <c r="A17" s="84"/>
      <c r="B17" s="85"/>
      <c r="C17" s="85"/>
      <c r="D17" s="88"/>
      <c r="E17" s="78"/>
      <c r="F17" s="78"/>
      <c r="G17" s="81"/>
      <c r="H17" s="79"/>
      <c r="I17" s="82"/>
      <c r="J17" s="83"/>
      <c r="K17" s="79"/>
      <c r="L17" s="82"/>
      <c r="M17" s="83"/>
      <c r="N17" s="79"/>
      <c r="O17" s="80"/>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row>
    <row r="18" spans="1:250">
      <c r="A18" s="89" t="str">
        <f>Database!B14</f>
        <v>Mounting Options</v>
      </c>
      <c r="B18" s="71"/>
      <c r="C18" s="71"/>
      <c r="D18" s="90"/>
      <c r="E18" s="77"/>
      <c r="F18" s="77"/>
      <c r="G18" s="81"/>
      <c r="H18" s="79"/>
      <c r="I18" s="82"/>
      <c r="J18" s="83"/>
      <c r="K18" s="79"/>
      <c r="L18" s="82"/>
      <c r="M18" s="83"/>
      <c r="N18" s="79"/>
      <c r="O18" s="80"/>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row>
    <row r="19" spans="1:250">
      <c r="A19" s="84" t="str">
        <f ca="1">Database!E15</f>
        <v>19” Rack Mount / Rear Mount</v>
      </c>
      <c r="B19" s="85"/>
      <c r="C19" s="85"/>
      <c r="D19" s="88"/>
      <c r="E19" s="78"/>
      <c r="F19" s="78"/>
      <c r="G19" s="91" t="str">
        <f ca="1">Database!F15</f>
        <v>P</v>
      </c>
      <c r="H19" s="79"/>
      <c r="I19" s="82"/>
      <c r="J19" s="83"/>
      <c r="K19" s="79"/>
      <c r="L19" s="82"/>
      <c r="M19" s="83"/>
      <c r="N19" s="79"/>
      <c r="O19" s="80"/>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row>
    <row r="20" spans="1:250">
      <c r="A20" s="84"/>
      <c r="B20" s="85"/>
      <c r="C20" s="85"/>
      <c r="D20" s="88"/>
      <c r="E20" s="78"/>
      <c r="F20" s="78"/>
      <c r="G20" s="78"/>
      <c r="H20" s="79"/>
      <c r="I20" s="82"/>
      <c r="J20" s="83"/>
      <c r="K20" s="79"/>
      <c r="L20" s="82"/>
      <c r="M20" s="83"/>
      <c r="N20" s="79"/>
      <c r="O20" s="80"/>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row>
    <row r="21" spans="1:250">
      <c r="A21" s="89" t="str">
        <f>Database!B18</f>
        <v>Interface Module 1</v>
      </c>
      <c r="B21" s="71"/>
      <c r="C21" s="71"/>
      <c r="D21" s="90"/>
      <c r="E21" s="77"/>
      <c r="F21" s="77"/>
      <c r="G21" s="77"/>
      <c r="H21" s="79"/>
      <c r="I21" s="82"/>
      <c r="J21" s="83"/>
      <c r="K21" s="79"/>
      <c r="L21" s="82"/>
      <c r="M21" s="83"/>
      <c r="N21" s="79"/>
      <c r="O21" s="80"/>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row>
    <row r="22" spans="1:250">
      <c r="A22" s="84" t="str">
        <f ca="1">Database!E19</f>
        <v>Four 1 Gbps RJ45 copper 10/100BASE-TX/1000BASE-T Ethernet ports</v>
      </c>
      <c r="B22" s="85"/>
      <c r="C22" s="85"/>
      <c r="D22" s="88"/>
      <c r="E22" s="78"/>
      <c r="F22" s="78"/>
      <c r="G22" s="78"/>
      <c r="H22" s="91" t="str">
        <f ca="1">Database!F19</f>
        <v>A</v>
      </c>
      <c r="I22" s="82"/>
      <c r="J22" s="83"/>
      <c r="K22" s="79"/>
      <c r="L22" s="82"/>
      <c r="M22" s="83"/>
      <c r="N22" s="79"/>
      <c r="O22" s="80"/>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row>
    <row r="23" spans="1:250">
      <c r="A23" s="84" t="str">
        <f ca="1">Database!E20</f>
        <v>Four slots for SFP transceivers</v>
      </c>
      <c r="B23" s="85"/>
      <c r="C23" s="85"/>
      <c r="D23" s="88"/>
      <c r="E23" s="78"/>
      <c r="F23" s="78"/>
      <c r="G23" s="78"/>
      <c r="H23" s="91" t="str">
        <f ca="1">Database!F20</f>
        <v>B</v>
      </c>
      <c r="I23" s="82"/>
      <c r="J23" s="83"/>
      <c r="K23" s="79"/>
      <c r="L23" s="82"/>
      <c r="M23" s="83"/>
      <c r="N23" s="79"/>
      <c r="O23" s="80"/>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row>
    <row r="24" spans="1:250">
      <c r="A24" s="84" t="str">
        <f ca="1">Database!E21</f>
        <v>Four 1 Gbps LC-type connector multi mode fiber 1000BASE-SX Ethernet for up to 0.5 km</v>
      </c>
      <c r="B24" s="85"/>
      <c r="C24" s="85"/>
      <c r="D24" s="88"/>
      <c r="E24" s="78"/>
      <c r="F24" s="78"/>
      <c r="G24" s="78"/>
      <c r="H24" s="91" t="str">
        <f ca="1">Database!F21</f>
        <v>C</v>
      </c>
      <c r="I24" s="82"/>
      <c r="J24" s="83"/>
      <c r="K24" s="79"/>
      <c r="L24" s="82"/>
      <c r="M24" s="83"/>
      <c r="N24" s="79"/>
      <c r="O24" s="80"/>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row>
    <row r="25" spans="1:250">
      <c r="A25" s="84" t="str">
        <f ca="1">Database!E22</f>
        <v>Four 1 Gbps LC-type connector single mode fiber 1000BASE-LX Ethernet for up to 10 km</v>
      </c>
      <c r="B25" s="85"/>
      <c r="C25" s="85"/>
      <c r="D25" s="88"/>
      <c r="E25" s="78"/>
      <c r="F25" s="78"/>
      <c r="G25" s="78"/>
      <c r="H25" s="91" t="str">
        <f ca="1">Database!F22</f>
        <v>D</v>
      </c>
      <c r="I25" s="82"/>
      <c r="J25" s="83"/>
      <c r="K25" s="79"/>
      <c r="L25" s="82"/>
      <c r="M25" s="83"/>
      <c r="N25" s="79"/>
      <c r="O25" s="80"/>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row>
    <row r="26" spans="1:250">
      <c r="A26" s="84" t="str">
        <f ca="1">Database!E23</f>
        <v>Four 1 Gbps LC-type connector single mode fiber 1000BASE-ZX Ethernet for up to 40 km</v>
      </c>
      <c r="B26" s="85"/>
      <c r="C26" s="85"/>
      <c r="D26" s="88"/>
      <c r="E26" s="78"/>
      <c r="F26" s="78"/>
      <c r="G26" s="78"/>
      <c r="H26" s="91" t="str">
        <f ca="1">Database!F23</f>
        <v>E</v>
      </c>
      <c r="I26" s="82"/>
      <c r="J26" s="83"/>
      <c r="K26" s="79"/>
      <c r="L26" s="82"/>
      <c r="M26" s="83"/>
      <c r="N26" s="79"/>
      <c r="O26" s="80"/>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row>
    <row r="27" spans="1:250">
      <c r="A27" s="84" t="str">
        <f ca="1">Database!E24</f>
        <v>Four 1 Gbps LC-type connector single mode fiber 1000BASE-ZX Ethernet for up to 80 km</v>
      </c>
      <c r="B27" s="85"/>
      <c r="C27" s="85"/>
      <c r="D27" s="88"/>
      <c r="E27" s="78"/>
      <c r="F27" s="78"/>
      <c r="G27" s="78"/>
      <c r="H27" s="91" t="str">
        <f ca="1">Database!F24</f>
        <v>F</v>
      </c>
      <c r="I27" s="82"/>
      <c r="J27" s="83"/>
      <c r="K27" s="79"/>
      <c r="L27" s="82"/>
      <c r="M27" s="83"/>
      <c r="N27" s="79"/>
      <c r="O27" s="80"/>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row>
    <row r="28" spans="1:250">
      <c r="A28" s="84" t="str">
        <f ca="1">Database!E25</f>
        <v>Four 100 Mbps LC-type connector multi mode fiber 100BASE-FX Ethernet for up to 2 km</v>
      </c>
      <c r="B28" s="85"/>
      <c r="C28" s="85"/>
      <c r="D28" s="88"/>
      <c r="E28" s="78"/>
      <c r="F28" s="78"/>
      <c r="G28" s="78"/>
      <c r="H28" s="91" t="str">
        <f ca="1">Database!F25</f>
        <v>H</v>
      </c>
      <c r="I28" s="82"/>
      <c r="J28" s="83"/>
      <c r="K28" s="79"/>
      <c r="L28" s="82"/>
      <c r="M28" s="83"/>
      <c r="N28" s="79"/>
      <c r="O28" s="80"/>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row>
    <row r="29" spans="1:250">
      <c r="A29" s="84" t="str">
        <f ca="1">Database!E26</f>
        <v>Four RJ45 copper 10/100BASE-TX</v>
      </c>
      <c r="B29" s="85"/>
      <c r="C29" s="85"/>
      <c r="D29" s="88"/>
      <c r="E29" s="78"/>
      <c r="F29" s="78"/>
      <c r="G29" s="78"/>
      <c r="H29" s="91" t="str">
        <f ca="1">Database!F26</f>
        <v>I</v>
      </c>
      <c r="I29" s="82"/>
      <c r="J29" s="83"/>
      <c r="K29" s="79"/>
      <c r="L29" s="82"/>
      <c r="M29" s="83"/>
      <c r="N29" s="79"/>
      <c r="O29" s="80"/>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row>
    <row r="30" spans="1:250">
      <c r="A30" s="84" t="str">
        <f ca="1">Database!E27</f>
        <v>Two 1 Gbps LC-type connector multi mode fiber 1000BASE-SX Ethernet for up to 0.5 km + Two 100 Mbps LC-type connector multi mode fiber 100BASE-FX Ethernet for up to 2 km</v>
      </c>
      <c r="B30" s="85"/>
      <c r="C30" s="85"/>
      <c r="D30" s="88"/>
      <c r="E30" s="78"/>
      <c r="F30" s="78"/>
      <c r="G30" s="78"/>
      <c r="H30" s="91" t="str">
        <f ca="1">Database!F27</f>
        <v>M</v>
      </c>
      <c r="I30" s="82"/>
      <c r="J30" s="83"/>
      <c r="K30" s="79"/>
      <c r="L30" s="82"/>
      <c r="M30" s="83"/>
      <c r="N30" s="79"/>
      <c r="O30" s="80"/>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row>
    <row r="31" spans="1:250">
      <c r="A31" s="84" t="str">
        <f ca="1">Database!E28</f>
        <v>Four 1 Gbps RJ45 SFP Transceivers 10/100BASE-TX/1000BASE-T Ethernet ports (Not CE marked) (Withdraw)</v>
      </c>
      <c r="B31" s="85"/>
      <c r="C31" s="85"/>
      <c r="D31" s="88"/>
      <c r="E31" s="78"/>
      <c r="F31" s="78"/>
      <c r="G31" s="78"/>
      <c r="H31" s="91" t="str">
        <f ca="1">Database!F28</f>
        <v>J</v>
      </c>
      <c r="I31" s="82"/>
      <c r="J31" s="83"/>
      <c r="K31" s="79"/>
      <c r="L31" s="82"/>
      <c r="M31" s="83"/>
      <c r="N31" s="79"/>
      <c r="O31" s="80"/>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row>
    <row r="32" spans="1:250">
      <c r="A32" s="84" t="str">
        <f ca="1">Database!E29</f>
        <v>Two 1 Gbps RJ45 SFP Transceivers 10/100BASE-TX/1000BASE-T Ethernet ports + Two 1 Gbps LC-type connector multi mode fiber 1000BASE-SX Ethernet for up to 0.5 km  (Withdraw)</v>
      </c>
      <c r="B32" s="85"/>
      <c r="C32" s="85"/>
      <c r="D32" s="88"/>
      <c r="E32" s="78"/>
      <c r="F32" s="78"/>
      <c r="G32" s="78"/>
      <c r="H32" s="91" t="str">
        <f ca="1">Database!F29</f>
        <v>K</v>
      </c>
      <c r="I32" s="82"/>
      <c r="J32" s="83"/>
      <c r="K32" s="79"/>
      <c r="L32" s="82"/>
      <c r="M32" s="83"/>
      <c r="N32" s="79"/>
      <c r="O32" s="80"/>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row>
    <row r="33" spans="1:250">
      <c r="A33" s="84" t="str">
        <f ca="1">Database!E30</f>
        <v>Two 1 Gbps RJ45 SFP Transceivers 10/100BASE-TX/1000BASE-T Ethernet ports + Two 100 Mbps LC-type connector multi mode fiber 100BASE-FX Ethernet for up to 2 km (Withdraw)</v>
      </c>
      <c r="B33" s="85"/>
      <c r="C33" s="85"/>
      <c r="D33" s="88"/>
      <c r="E33" s="78"/>
      <c r="F33" s="78"/>
      <c r="G33" s="78"/>
      <c r="H33" s="91" t="str">
        <f ca="1">Database!F30</f>
        <v>L</v>
      </c>
      <c r="I33" s="82"/>
      <c r="J33" s="83"/>
      <c r="K33" s="79"/>
      <c r="L33" s="82"/>
      <c r="M33" s="83"/>
      <c r="N33" s="79"/>
      <c r="O33" s="80"/>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row>
    <row r="34" spans="1:250">
      <c r="A34" s="84" t="str">
        <f ca="1">Database!E31</f>
        <v>Not installed (Withdraw)</v>
      </c>
      <c r="B34" s="85"/>
      <c r="C34" s="85"/>
      <c r="D34" s="88"/>
      <c r="E34" s="78"/>
      <c r="F34" s="78"/>
      <c r="G34" s="78"/>
      <c r="H34" s="91" t="str">
        <f ca="1">Database!F31</f>
        <v>X</v>
      </c>
      <c r="I34" s="82"/>
      <c r="J34" s="83"/>
      <c r="K34" s="79"/>
      <c r="L34" s="82"/>
      <c r="M34" s="83"/>
      <c r="N34" s="79"/>
      <c r="O34" s="80"/>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row>
    <row r="35" spans="1:250">
      <c r="A35" s="84"/>
      <c r="B35" s="85"/>
      <c r="C35" s="85"/>
      <c r="D35" s="88"/>
      <c r="E35" s="78"/>
      <c r="F35" s="78"/>
      <c r="G35" s="78"/>
      <c r="H35" s="78"/>
      <c r="I35" s="82"/>
      <c r="J35" s="83"/>
      <c r="K35" s="79"/>
      <c r="L35" s="82"/>
      <c r="M35" s="83"/>
      <c r="N35" s="79"/>
      <c r="O35" s="80"/>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row>
    <row r="36" spans="1:250">
      <c r="A36" s="89" t="str">
        <f>Database!B33</f>
        <v>Interface Module 2</v>
      </c>
      <c r="B36" s="71"/>
      <c r="C36" s="71"/>
      <c r="D36" s="90"/>
      <c r="E36" s="77"/>
      <c r="F36" s="77"/>
      <c r="G36" s="77"/>
      <c r="H36" s="77"/>
      <c r="I36" s="82"/>
      <c r="J36" s="83"/>
      <c r="K36" s="79"/>
      <c r="L36" s="82"/>
      <c r="M36" s="83"/>
      <c r="N36" s="79"/>
      <c r="O36" s="80"/>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row>
    <row r="37" spans="1:250">
      <c r="A37" s="84" t="str">
        <f ca="1">Database!E34</f>
        <v>Four 1 Gbps RJ45 copper 10/100BASE-TX/1000BASE-T Ethernet ports</v>
      </c>
      <c r="B37" s="85"/>
      <c r="C37" s="85"/>
      <c r="D37" s="88"/>
      <c r="E37" s="78"/>
      <c r="F37" s="78"/>
      <c r="G37" s="78"/>
      <c r="H37" s="78"/>
      <c r="I37" s="91" t="str">
        <f ca="1">Database!F34</f>
        <v>A</v>
      </c>
      <c r="J37" s="83"/>
      <c r="K37" s="79"/>
      <c r="L37" s="82"/>
      <c r="M37" s="83"/>
      <c r="N37" s="79"/>
      <c r="O37" s="80"/>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row>
    <row r="38" spans="1:250">
      <c r="A38" s="84" t="str">
        <f ca="1">Database!E35</f>
        <v>Four slots for SFP transceivers</v>
      </c>
      <c r="B38" s="85"/>
      <c r="C38" s="85"/>
      <c r="D38" s="88"/>
      <c r="E38" s="78"/>
      <c r="F38" s="78"/>
      <c r="G38" s="78"/>
      <c r="H38" s="78"/>
      <c r="I38" s="91" t="str">
        <f ca="1">Database!F35</f>
        <v>B</v>
      </c>
      <c r="J38" s="83"/>
      <c r="K38" s="79"/>
      <c r="L38" s="82"/>
      <c r="M38" s="83"/>
      <c r="N38" s="79"/>
      <c r="O38" s="80"/>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row>
    <row r="39" spans="1:250">
      <c r="A39" s="84" t="str">
        <f ca="1">Database!E36</f>
        <v>Four 1 Gbps LC-type connector multi mode fiber 1000BASE-SX Ethernet for up to 0.5 km</v>
      </c>
      <c r="B39" s="85"/>
      <c r="C39" s="85"/>
      <c r="D39" s="88"/>
      <c r="E39" s="78"/>
      <c r="F39" s="78"/>
      <c r="G39" s="78"/>
      <c r="H39" s="78"/>
      <c r="I39" s="91" t="str">
        <f ca="1">Database!F36</f>
        <v>C</v>
      </c>
      <c r="J39" s="83"/>
      <c r="K39" s="79"/>
      <c r="L39" s="82"/>
      <c r="M39" s="83"/>
      <c r="N39" s="79"/>
      <c r="O39" s="80"/>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row>
    <row r="40" spans="1:250">
      <c r="A40" s="84" t="str">
        <f ca="1">Database!E37</f>
        <v>Four 1 Gbps LC-type connector single mode fiber 1000BASE-LX Ethernet for up to 10 km</v>
      </c>
      <c r="B40" s="85"/>
      <c r="C40" s="85"/>
      <c r="D40" s="88"/>
      <c r="E40" s="78"/>
      <c r="F40" s="78"/>
      <c r="G40" s="78"/>
      <c r="H40" s="78"/>
      <c r="I40" s="91" t="str">
        <f ca="1">Database!F37</f>
        <v>D</v>
      </c>
      <c r="J40" s="83"/>
      <c r="K40" s="79"/>
      <c r="L40" s="82"/>
      <c r="M40" s="83"/>
      <c r="N40" s="79"/>
      <c r="O40" s="80"/>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row>
    <row r="41" spans="1:250">
      <c r="A41" s="84" t="str">
        <f ca="1">Database!E38</f>
        <v>Four 1 Gbps LC-type connector single mode fiber 1000BASE-ZX Ethernet for up to 40 km</v>
      </c>
      <c r="B41" s="85"/>
      <c r="C41" s="85"/>
      <c r="D41" s="88"/>
      <c r="E41" s="78"/>
      <c r="F41" s="78"/>
      <c r="G41" s="78"/>
      <c r="H41" s="78"/>
      <c r="I41" s="91" t="str">
        <f ca="1">Database!F38</f>
        <v>E</v>
      </c>
      <c r="J41" s="83"/>
      <c r="K41" s="79"/>
      <c r="L41" s="82"/>
      <c r="M41" s="83"/>
      <c r="N41" s="79"/>
      <c r="O41" s="80"/>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row>
    <row r="42" spans="1:250">
      <c r="A42" s="84" t="str">
        <f ca="1">Database!E39</f>
        <v>Four 1 Gbps LC-type connector single mode fiber 1000BASE-ZX Ethernet for up to 80 km</v>
      </c>
      <c r="B42" s="85"/>
      <c r="C42" s="85"/>
      <c r="D42" s="88"/>
      <c r="E42" s="78"/>
      <c r="F42" s="78"/>
      <c r="G42" s="78"/>
      <c r="H42" s="78"/>
      <c r="I42" s="91" t="str">
        <f ca="1">Database!F39</f>
        <v>F</v>
      </c>
      <c r="J42" s="83"/>
      <c r="K42" s="79"/>
      <c r="L42" s="82"/>
      <c r="M42" s="83"/>
      <c r="N42" s="79"/>
      <c r="O42" s="80"/>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row>
    <row r="43" spans="1:250">
      <c r="A43" s="84" t="str">
        <f ca="1">Database!E40</f>
        <v>Four 100 Mbps LC-type connector multi mode fiber 100BASE-FX Ethernet for up to 2 km</v>
      </c>
      <c r="B43" s="85"/>
      <c r="C43" s="85"/>
      <c r="D43" s="88"/>
      <c r="E43" s="78"/>
      <c r="F43" s="78"/>
      <c r="G43" s="78"/>
      <c r="H43" s="78"/>
      <c r="I43" s="91" t="str">
        <f ca="1">Database!F40</f>
        <v>H</v>
      </c>
      <c r="J43" s="83"/>
      <c r="K43" s="79"/>
      <c r="L43" s="82"/>
      <c r="M43" s="83"/>
      <c r="N43" s="79"/>
      <c r="O43" s="80"/>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row>
    <row r="44" spans="1:250">
      <c r="A44" s="84" t="str">
        <f ca="1">Database!E41</f>
        <v>Four RJ45 copper 10/100BASE-TX</v>
      </c>
      <c r="B44" s="85"/>
      <c r="C44" s="85"/>
      <c r="D44" s="88"/>
      <c r="E44" s="78"/>
      <c r="F44" s="78"/>
      <c r="G44" s="78"/>
      <c r="H44" s="78"/>
      <c r="I44" s="91" t="str">
        <f ca="1">Database!F41</f>
        <v>I</v>
      </c>
      <c r="J44" s="83"/>
      <c r="K44" s="79"/>
      <c r="L44" s="82"/>
      <c r="M44" s="83"/>
      <c r="N44" s="79"/>
      <c r="O44" s="80"/>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c r="IN44" s="87"/>
      <c r="IO44" s="87"/>
      <c r="IP44" s="87"/>
    </row>
    <row r="45" spans="1:250">
      <c r="A45" s="84" t="str">
        <f ca="1">Database!E42</f>
        <v>Not installed</v>
      </c>
      <c r="B45" s="85"/>
      <c r="C45" s="85"/>
      <c r="D45" s="88"/>
      <c r="E45" s="78"/>
      <c r="F45" s="78"/>
      <c r="G45" s="78"/>
      <c r="H45" s="78"/>
      <c r="I45" s="91" t="str">
        <f ca="1">Database!F42</f>
        <v>X</v>
      </c>
      <c r="J45" s="83"/>
      <c r="K45" s="79"/>
      <c r="L45" s="82"/>
      <c r="M45" s="83"/>
      <c r="N45" s="79"/>
      <c r="O45" s="80"/>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row>
    <row r="46" spans="1:250">
      <c r="A46" s="84" t="str">
        <f ca="1">Database!E43</f>
        <v>Four 1 Gbps RJ45 SFP Transceivers 10/100BASE-TX/1000BASE-T Ethernet ports (Not CE marked) (Withdraw)</v>
      </c>
      <c r="B46" s="85"/>
      <c r="C46" s="85"/>
      <c r="D46" s="88"/>
      <c r="E46" s="78"/>
      <c r="F46" s="78"/>
      <c r="G46" s="78"/>
      <c r="H46" s="78"/>
      <c r="I46" s="91" t="str">
        <f ca="1">Database!F43</f>
        <v>J</v>
      </c>
      <c r="J46" s="83"/>
      <c r="K46" s="79"/>
      <c r="L46" s="82"/>
      <c r="M46" s="83"/>
      <c r="N46" s="79"/>
      <c r="O46" s="80"/>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row>
    <row r="47" spans="1:250">
      <c r="A47" s="84"/>
      <c r="B47" s="85"/>
      <c r="C47" s="85"/>
      <c r="D47" s="88"/>
      <c r="E47" s="78"/>
      <c r="F47" s="78"/>
      <c r="G47" s="78"/>
      <c r="H47" s="78"/>
      <c r="I47" s="78"/>
      <c r="J47" s="83"/>
      <c r="K47" s="79"/>
      <c r="L47" s="82"/>
      <c r="M47" s="83"/>
      <c r="N47" s="79"/>
      <c r="O47" s="80"/>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row>
    <row r="48" spans="1:250">
      <c r="A48" s="89" t="str">
        <f>Database!B45</f>
        <v>Interface Module 3</v>
      </c>
      <c r="B48" s="71"/>
      <c r="C48" s="71"/>
      <c r="D48" s="90"/>
      <c r="E48" s="77"/>
      <c r="F48" s="77"/>
      <c r="G48" s="77"/>
      <c r="H48" s="77"/>
      <c r="I48" s="77"/>
      <c r="J48" s="83"/>
      <c r="K48" s="79"/>
      <c r="L48" s="82"/>
      <c r="M48" s="83"/>
      <c r="N48" s="79"/>
      <c r="O48" s="80"/>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c r="DM48" s="87"/>
      <c r="DN48" s="87"/>
      <c r="DO48" s="87"/>
      <c r="DP48" s="87"/>
      <c r="DQ48" s="87"/>
      <c r="DR48" s="87"/>
      <c r="DS48" s="87"/>
      <c r="DT48" s="87"/>
      <c r="DU48" s="87"/>
      <c r="DV48" s="87"/>
      <c r="DW48" s="87"/>
      <c r="DX48" s="87"/>
      <c r="DY48" s="87"/>
      <c r="DZ48" s="87"/>
      <c r="EA48" s="87"/>
      <c r="EB48" s="87"/>
      <c r="EC48" s="87"/>
      <c r="ED48" s="87"/>
      <c r="EE48" s="87"/>
      <c r="EF48" s="87"/>
      <c r="EG48" s="87"/>
      <c r="EH48" s="87"/>
      <c r="EI48" s="87"/>
      <c r="EJ48" s="87"/>
      <c r="EK48" s="87"/>
      <c r="EL48" s="87"/>
      <c r="EM48" s="87"/>
      <c r="EN48" s="87"/>
      <c r="EO48" s="87"/>
      <c r="EP48" s="87"/>
      <c r="EQ48" s="87"/>
      <c r="ER48" s="87"/>
      <c r="ES48" s="87"/>
      <c r="ET48" s="87"/>
      <c r="EU48" s="87"/>
      <c r="EV48" s="87"/>
      <c r="EW48" s="87"/>
      <c r="EX48" s="87"/>
      <c r="EY48" s="87"/>
      <c r="EZ48" s="87"/>
      <c r="FA48" s="87"/>
      <c r="FB48" s="87"/>
      <c r="FC48" s="87"/>
      <c r="FD48" s="87"/>
      <c r="FE48" s="87"/>
      <c r="FF48" s="87"/>
      <c r="FG48" s="87"/>
      <c r="FH48" s="87"/>
      <c r="FI48" s="87"/>
      <c r="FJ48" s="87"/>
      <c r="FK48" s="87"/>
      <c r="FL48" s="87"/>
      <c r="FM48" s="87"/>
      <c r="FN48" s="87"/>
      <c r="FO48" s="87"/>
      <c r="FP48" s="87"/>
      <c r="FQ48" s="87"/>
      <c r="FR48" s="87"/>
      <c r="FS48" s="87"/>
      <c r="FT48" s="87"/>
      <c r="FU48" s="87"/>
      <c r="FV48" s="87"/>
      <c r="FW48" s="87"/>
      <c r="FX48" s="87"/>
      <c r="FY48" s="87"/>
      <c r="FZ48" s="87"/>
      <c r="GA48" s="87"/>
      <c r="GB48" s="87"/>
      <c r="GC48" s="87"/>
      <c r="GD48" s="87"/>
      <c r="GE48" s="87"/>
      <c r="GF48" s="87"/>
      <c r="GG48" s="87"/>
      <c r="GH48" s="87"/>
      <c r="GI48" s="87"/>
      <c r="GJ48" s="87"/>
      <c r="GK48" s="87"/>
      <c r="GL48" s="87"/>
      <c r="GM48" s="87"/>
      <c r="GN48" s="87"/>
      <c r="GO48" s="87"/>
      <c r="GP48" s="87"/>
      <c r="GQ48" s="87"/>
      <c r="GR48" s="87"/>
      <c r="GS48" s="87"/>
      <c r="GT48" s="87"/>
      <c r="GU48" s="87"/>
      <c r="GV48" s="87"/>
      <c r="GW48" s="87"/>
      <c r="GX48" s="87"/>
      <c r="GY48" s="87"/>
      <c r="GZ48" s="87"/>
      <c r="HA48" s="87"/>
      <c r="HB48" s="87"/>
      <c r="HC48" s="87"/>
      <c r="HD48" s="87"/>
      <c r="HE48" s="87"/>
      <c r="HF48" s="87"/>
      <c r="HG48" s="87"/>
      <c r="HH48" s="87"/>
      <c r="HI48" s="87"/>
      <c r="HJ48" s="87"/>
      <c r="HK48" s="87"/>
      <c r="HL48" s="87"/>
      <c r="HM48" s="87"/>
      <c r="HN48" s="87"/>
      <c r="HO48" s="87"/>
      <c r="HP48" s="87"/>
      <c r="HQ48" s="87"/>
      <c r="HR48" s="87"/>
      <c r="HS48" s="87"/>
      <c r="HT48" s="87"/>
      <c r="HU48" s="87"/>
      <c r="HV48" s="87"/>
      <c r="HW48" s="87"/>
      <c r="HX48" s="87"/>
      <c r="HY48" s="87"/>
      <c r="HZ48" s="87"/>
      <c r="IA48" s="87"/>
      <c r="IB48" s="87"/>
      <c r="IC48" s="87"/>
      <c r="ID48" s="87"/>
      <c r="IE48" s="87"/>
      <c r="IF48" s="87"/>
      <c r="IG48" s="87"/>
      <c r="IH48" s="87"/>
      <c r="II48" s="87"/>
      <c r="IJ48" s="87"/>
      <c r="IK48" s="87"/>
      <c r="IL48" s="87"/>
      <c r="IM48" s="87"/>
      <c r="IN48" s="87"/>
      <c r="IO48" s="87"/>
      <c r="IP48" s="87"/>
    </row>
    <row r="49" spans="1:250">
      <c r="A49" s="84" t="str">
        <f ca="1">Database!E46</f>
        <v>Four 1 Gbps RJ45 copper 10/100BASE-TX/1000BASE-T Ethernet ports</v>
      </c>
      <c r="B49" s="85"/>
      <c r="C49" s="85"/>
      <c r="D49" s="88"/>
      <c r="E49" s="78"/>
      <c r="F49" s="78"/>
      <c r="G49" s="78"/>
      <c r="H49" s="78"/>
      <c r="I49" s="78"/>
      <c r="J49" s="91" t="str">
        <f ca="1">Database!F46</f>
        <v>A</v>
      </c>
      <c r="K49" s="79"/>
      <c r="L49" s="82"/>
      <c r="M49" s="83"/>
      <c r="N49" s="79"/>
      <c r="O49" s="80"/>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7"/>
      <c r="ET49" s="87"/>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7"/>
      <c r="GD49" s="87"/>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7"/>
      <c r="HN49" s="87"/>
      <c r="HO49" s="87"/>
      <c r="HP49" s="87"/>
      <c r="HQ49" s="87"/>
      <c r="HR49" s="87"/>
      <c r="HS49" s="87"/>
      <c r="HT49" s="87"/>
      <c r="HU49" s="87"/>
      <c r="HV49" s="87"/>
      <c r="HW49" s="87"/>
      <c r="HX49" s="87"/>
      <c r="HY49" s="87"/>
      <c r="HZ49" s="87"/>
      <c r="IA49" s="87"/>
      <c r="IB49" s="87"/>
      <c r="IC49" s="87"/>
      <c r="ID49" s="87"/>
      <c r="IE49" s="87"/>
      <c r="IF49" s="87"/>
      <c r="IG49" s="87"/>
      <c r="IH49" s="87"/>
      <c r="II49" s="87"/>
      <c r="IJ49" s="87"/>
      <c r="IK49" s="87"/>
      <c r="IL49" s="87"/>
      <c r="IM49" s="87"/>
      <c r="IN49" s="87"/>
      <c r="IO49" s="87"/>
      <c r="IP49" s="87"/>
    </row>
    <row r="50" spans="1:250">
      <c r="A50" s="84" t="str">
        <f ca="1">Database!E47</f>
        <v>Four slots for SFP transceivers</v>
      </c>
      <c r="B50" s="85"/>
      <c r="C50" s="85"/>
      <c r="D50" s="88"/>
      <c r="E50" s="78"/>
      <c r="F50" s="78"/>
      <c r="G50" s="78"/>
      <c r="H50" s="78"/>
      <c r="I50" s="78"/>
      <c r="J50" s="91" t="str">
        <f ca="1">Database!F47</f>
        <v>B</v>
      </c>
      <c r="K50" s="79"/>
      <c r="L50" s="82"/>
      <c r="M50" s="83"/>
      <c r="N50" s="79"/>
      <c r="O50" s="80"/>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c r="GV50" s="87"/>
      <c r="GW50" s="87"/>
      <c r="GX50" s="87"/>
      <c r="GY50" s="87"/>
      <c r="GZ50" s="87"/>
      <c r="HA50" s="87"/>
      <c r="HB50" s="87"/>
      <c r="HC50" s="87"/>
      <c r="HD50" s="87"/>
      <c r="HE50" s="87"/>
      <c r="HF50" s="87"/>
      <c r="HG50" s="87"/>
      <c r="HH50" s="87"/>
      <c r="HI50" s="87"/>
      <c r="HJ50" s="87"/>
      <c r="HK50" s="87"/>
      <c r="HL50" s="87"/>
      <c r="HM50" s="87"/>
      <c r="HN50" s="87"/>
      <c r="HO50" s="87"/>
      <c r="HP50" s="87"/>
      <c r="HQ50" s="87"/>
      <c r="HR50" s="87"/>
      <c r="HS50" s="87"/>
      <c r="HT50" s="87"/>
      <c r="HU50" s="87"/>
      <c r="HV50" s="87"/>
      <c r="HW50" s="87"/>
      <c r="HX50" s="87"/>
      <c r="HY50" s="87"/>
      <c r="HZ50" s="87"/>
      <c r="IA50" s="87"/>
      <c r="IB50" s="87"/>
      <c r="IC50" s="87"/>
      <c r="ID50" s="87"/>
      <c r="IE50" s="87"/>
      <c r="IF50" s="87"/>
      <c r="IG50" s="87"/>
      <c r="IH50" s="87"/>
      <c r="II50" s="87"/>
      <c r="IJ50" s="87"/>
      <c r="IK50" s="87"/>
      <c r="IL50" s="87"/>
      <c r="IM50" s="87"/>
      <c r="IN50" s="87"/>
      <c r="IO50" s="87"/>
      <c r="IP50" s="87"/>
    </row>
    <row r="51" spans="1:250">
      <c r="A51" s="84" t="str">
        <f ca="1">Database!E48</f>
        <v>Four 1 Gbps LC-type connector multi mode fiber 1000BASE-SX Ethernet for up to 0.5 km</v>
      </c>
      <c r="B51" s="85"/>
      <c r="C51" s="85"/>
      <c r="D51" s="88"/>
      <c r="E51" s="78"/>
      <c r="F51" s="78"/>
      <c r="G51" s="78"/>
      <c r="H51" s="78"/>
      <c r="I51" s="78"/>
      <c r="J51" s="91" t="str">
        <f ca="1">Database!F48</f>
        <v>C</v>
      </c>
      <c r="K51" s="79"/>
      <c r="L51" s="82"/>
      <c r="M51" s="83"/>
      <c r="N51" s="79"/>
      <c r="O51" s="80"/>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87"/>
      <c r="EJ51" s="87"/>
      <c r="EK51" s="87"/>
      <c r="EL51" s="87"/>
      <c r="EM51" s="87"/>
      <c r="EN51" s="87"/>
      <c r="EO51" s="87"/>
      <c r="EP51" s="87"/>
      <c r="EQ51" s="87"/>
      <c r="ER51" s="87"/>
      <c r="ES51" s="87"/>
      <c r="ET51" s="87"/>
      <c r="EU51" s="87"/>
      <c r="EV51" s="87"/>
      <c r="EW51" s="87"/>
      <c r="EX51" s="87"/>
      <c r="EY51" s="87"/>
      <c r="EZ51" s="87"/>
      <c r="FA51" s="87"/>
      <c r="FB51" s="87"/>
      <c r="FC51" s="87"/>
      <c r="FD51" s="87"/>
      <c r="FE51" s="87"/>
      <c r="FF51" s="87"/>
      <c r="FG51" s="87"/>
      <c r="FH51" s="87"/>
      <c r="FI51" s="87"/>
      <c r="FJ51" s="87"/>
      <c r="FK51" s="87"/>
      <c r="FL51" s="87"/>
      <c r="FM51" s="87"/>
      <c r="FN51" s="87"/>
      <c r="FO51" s="87"/>
      <c r="FP51" s="87"/>
      <c r="FQ51" s="87"/>
      <c r="FR51" s="87"/>
      <c r="FS51" s="87"/>
      <c r="FT51" s="87"/>
      <c r="FU51" s="87"/>
      <c r="FV51" s="87"/>
      <c r="FW51" s="87"/>
      <c r="FX51" s="87"/>
      <c r="FY51" s="87"/>
      <c r="FZ51" s="87"/>
      <c r="GA51" s="87"/>
      <c r="GB51" s="87"/>
      <c r="GC51" s="87"/>
      <c r="GD51" s="87"/>
      <c r="GE51" s="87"/>
      <c r="GF51" s="87"/>
      <c r="GG51" s="87"/>
      <c r="GH51" s="87"/>
      <c r="GI51" s="87"/>
      <c r="GJ51" s="87"/>
      <c r="GK51" s="87"/>
      <c r="GL51" s="87"/>
      <c r="GM51" s="87"/>
      <c r="GN51" s="87"/>
      <c r="GO51" s="87"/>
      <c r="GP51" s="87"/>
      <c r="GQ51" s="87"/>
      <c r="GR51" s="87"/>
      <c r="GS51" s="87"/>
      <c r="GT51" s="87"/>
      <c r="GU51" s="87"/>
      <c r="GV51" s="87"/>
      <c r="GW51" s="87"/>
      <c r="GX51" s="87"/>
      <c r="GY51" s="87"/>
      <c r="GZ51" s="87"/>
      <c r="HA51" s="87"/>
      <c r="HB51" s="87"/>
      <c r="HC51" s="87"/>
      <c r="HD51" s="87"/>
      <c r="HE51" s="87"/>
      <c r="HF51" s="87"/>
      <c r="HG51" s="87"/>
      <c r="HH51" s="87"/>
      <c r="HI51" s="87"/>
      <c r="HJ51" s="87"/>
      <c r="HK51" s="87"/>
      <c r="HL51" s="87"/>
      <c r="HM51" s="87"/>
      <c r="HN51" s="87"/>
      <c r="HO51" s="87"/>
      <c r="HP51" s="87"/>
      <c r="HQ51" s="87"/>
      <c r="HR51" s="87"/>
      <c r="HS51" s="87"/>
      <c r="HT51" s="87"/>
      <c r="HU51" s="87"/>
      <c r="HV51" s="87"/>
      <c r="HW51" s="87"/>
      <c r="HX51" s="87"/>
      <c r="HY51" s="87"/>
      <c r="HZ51" s="87"/>
      <c r="IA51" s="87"/>
      <c r="IB51" s="87"/>
      <c r="IC51" s="87"/>
      <c r="ID51" s="87"/>
      <c r="IE51" s="87"/>
      <c r="IF51" s="87"/>
      <c r="IG51" s="87"/>
      <c r="IH51" s="87"/>
      <c r="II51" s="87"/>
      <c r="IJ51" s="87"/>
      <c r="IK51" s="87"/>
      <c r="IL51" s="87"/>
      <c r="IM51" s="87"/>
      <c r="IN51" s="87"/>
      <c r="IO51" s="87"/>
      <c r="IP51" s="87"/>
    </row>
    <row r="52" spans="1:250">
      <c r="A52" s="84" t="str">
        <f ca="1">Database!E49</f>
        <v>Four 1 Gbps LC-type connector single mode fiber 1000BASE-LX Ethernet for up to 10 km</v>
      </c>
      <c r="B52" s="85"/>
      <c r="C52" s="85"/>
      <c r="D52" s="88"/>
      <c r="E52" s="78"/>
      <c r="F52" s="78"/>
      <c r="G52" s="78"/>
      <c r="H52" s="78"/>
      <c r="I52" s="78"/>
      <c r="J52" s="91" t="str">
        <f ca="1">Database!F49</f>
        <v>D</v>
      </c>
      <c r="K52" s="79"/>
      <c r="L52" s="82"/>
      <c r="M52" s="83"/>
      <c r="N52" s="79"/>
      <c r="O52" s="80"/>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row>
    <row r="53" spans="1:250">
      <c r="A53" s="84" t="str">
        <f ca="1">Database!E50</f>
        <v>Four 1 Gbps LC-type connector single mode fiber 1000BASE-ZX Ethernet for up to 40 km</v>
      </c>
      <c r="B53" s="85"/>
      <c r="C53" s="85"/>
      <c r="D53" s="88"/>
      <c r="E53" s="78"/>
      <c r="F53" s="78"/>
      <c r="G53" s="78"/>
      <c r="H53" s="78"/>
      <c r="I53" s="78"/>
      <c r="J53" s="91" t="str">
        <f ca="1">Database!F50</f>
        <v>E</v>
      </c>
      <c r="K53" s="79"/>
      <c r="L53" s="82"/>
      <c r="M53" s="83"/>
      <c r="N53" s="79"/>
      <c r="O53" s="80"/>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row>
    <row r="54" spans="1:250">
      <c r="A54" s="84" t="str">
        <f ca="1">Database!E51</f>
        <v>Four 1 Gbps LC-type connector single mode fiber 1000BASE-ZX Ethernet for up to 80 km</v>
      </c>
      <c r="B54" s="85"/>
      <c r="C54" s="85"/>
      <c r="D54" s="88"/>
      <c r="E54" s="78"/>
      <c r="F54" s="78"/>
      <c r="G54" s="78"/>
      <c r="H54" s="78"/>
      <c r="I54" s="78"/>
      <c r="J54" s="91" t="str">
        <f ca="1">Database!F51</f>
        <v>F</v>
      </c>
      <c r="K54" s="79"/>
      <c r="L54" s="82"/>
      <c r="M54" s="83"/>
      <c r="N54" s="79"/>
      <c r="O54" s="80"/>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c r="IP54" s="87"/>
    </row>
    <row r="55" spans="1:250">
      <c r="A55" s="84" t="str">
        <f ca="1">Database!E52</f>
        <v>Four 100 Mbps LC-type connector multi mode fiber 100BASE-FX Ethernet for up to 2 km</v>
      </c>
      <c r="B55" s="85"/>
      <c r="C55" s="85"/>
      <c r="D55" s="88"/>
      <c r="E55" s="78"/>
      <c r="F55" s="78"/>
      <c r="G55" s="78"/>
      <c r="H55" s="78"/>
      <c r="I55" s="78"/>
      <c r="J55" s="91" t="str">
        <f ca="1">Database!F52</f>
        <v>H</v>
      </c>
      <c r="K55" s="79"/>
      <c r="L55" s="82"/>
      <c r="M55" s="83"/>
      <c r="N55" s="79"/>
      <c r="O55" s="80"/>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87"/>
      <c r="EJ55" s="87"/>
      <c r="EK55" s="87"/>
      <c r="EL55" s="87"/>
      <c r="EM55" s="87"/>
      <c r="EN55" s="87"/>
      <c r="EO55" s="87"/>
      <c r="EP55" s="87"/>
      <c r="EQ55" s="87"/>
      <c r="ER55" s="87"/>
      <c r="ES55" s="87"/>
      <c r="ET55" s="87"/>
      <c r="EU55" s="87"/>
      <c r="EV55" s="87"/>
      <c r="EW55" s="87"/>
      <c r="EX55" s="87"/>
      <c r="EY55" s="87"/>
      <c r="EZ55" s="87"/>
      <c r="FA55" s="87"/>
      <c r="FB55" s="87"/>
      <c r="FC55" s="87"/>
      <c r="FD55" s="87"/>
      <c r="FE55" s="87"/>
      <c r="FF55" s="87"/>
      <c r="FG55" s="87"/>
      <c r="FH55" s="87"/>
      <c r="FI55" s="87"/>
      <c r="FJ55" s="87"/>
      <c r="FK55" s="87"/>
      <c r="FL55" s="87"/>
      <c r="FM55" s="87"/>
      <c r="FN55" s="87"/>
      <c r="FO55" s="87"/>
      <c r="FP55" s="87"/>
      <c r="FQ55" s="87"/>
      <c r="FR55" s="87"/>
      <c r="FS55" s="87"/>
      <c r="FT55" s="87"/>
      <c r="FU55" s="87"/>
      <c r="FV55" s="87"/>
      <c r="FW55" s="87"/>
      <c r="FX55" s="87"/>
      <c r="FY55" s="87"/>
      <c r="FZ55" s="87"/>
      <c r="GA55" s="87"/>
      <c r="GB55" s="87"/>
      <c r="GC55" s="87"/>
      <c r="GD55" s="87"/>
      <c r="GE55" s="87"/>
      <c r="GF55" s="87"/>
      <c r="GG55" s="87"/>
      <c r="GH55" s="87"/>
      <c r="GI55" s="87"/>
      <c r="GJ55" s="87"/>
      <c r="GK55" s="87"/>
      <c r="GL55" s="87"/>
      <c r="GM55" s="87"/>
      <c r="GN55" s="87"/>
      <c r="GO55" s="87"/>
      <c r="GP55" s="87"/>
      <c r="GQ55" s="87"/>
      <c r="GR55" s="87"/>
      <c r="GS55" s="87"/>
      <c r="GT55" s="87"/>
      <c r="GU55" s="87"/>
      <c r="GV55" s="87"/>
      <c r="GW55" s="87"/>
      <c r="GX55" s="87"/>
      <c r="GY55" s="87"/>
      <c r="GZ55" s="87"/>
      <c r="HA55" s="87"/>
      <c r="HB55" s="87"/>
      <c r="HC55" s="87"/>
      <c r="HD55" s="87"/>
      <c r="HE55" s="87"/>
      <c r="HF55" s="87"/>
      <c r="HG55" s="87"/>
      <c r="HH55" s="87"/>
      <c r="HI55" s="87"/>
      <c r="HJ55" s="87"/>
      <c r="HK55" s="87"/>
      <c r="HL55" s="87"/>
      <c r="HM55" s="87"/>
      <c r="HN55" s="87"/>
      <c r="HO55" s="87"/>
      <c r="HP55" s="87"/>
      <c r="HQ55" s="87"/>
      <c r="HR55" s="87"/>
      <c r="HS55" s="87"/>
      <c r="HT55" s="87"/>
      <c r="HU55" s="87"/>
      <c r="HV55" s="87"/>
      <c r="HW55" s="87"/>
      <c r="HX55" s="87"/>
      <c r="HY55" s="87"/>
      <c r="HZ55" s="87"/>
      <c r="IA55" s="87"/>
      <c r="IB55" s="87"/>
      <c r="IC55" s="87"/>
      <c r="ID55" s="87"/>
      <c r="IE55" s="87"/>
      <c r="IF55" s="87"/>
      <c r="IG55" s="87"/>
      <c r="IH55" s="87"/>
      <c r="II55" s="87"/>
      <c r="IJ55" s="87"/>
      <c r="IK55" s="87"/>
      <c r="IL55" s="87"/>
      <c r="IM55" s="87"/>
      <c r="IN55" s="87"/>
      <c r="IO55" s="87"/>
      <c r="IP55" s="87"/>
    </row>
    <row r="56" spans="1:250">
      <c r="A56" s="84" t="str">
        <f ca="1">Database!E53</f>
        <v>Four RJ45 copper 10/100BASE-TX</v>
      </c>
      <c r="B56" s="85"/>
      <c r="C56" s="85"/>
      <c r="D56" s="88"/>
      <c r="E56" s="78"/>
      <c r="F56" s="78"/>
      <c r="G56" s="78"/>
      <c r="H56" s="78"/>
      <c r="I56" s="78"/>
      <c r="J56" s="91" t="str">
        <f ca="1">Database!F53</f>
        <v>I</v>
      </c>
      <c r="K56" s="79"/>
      <c r="L56" s="82"/>
      <c r="M56" s="83"/>
      <c r="N56" s="79"/>
      <c r="O56" s="80"/>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c r="IP56" s="87"/>
    </row>
    <row r="57" spans="1:250">
      <c r="A57" s="84" t="str">
        <f ca="1">Database!E54</f>
        <v>Not installed</v>
      </c>
      <c r="B57" s="85"/>
      <c r="C57" s="85"/>
      <c r="D57" s="88"/>
      <c r="E57" s="78"/>
      <c r="F57" s="78"/>
      <c r="G57" s="78"/>
      <c r="H57" s="78"/>
      <c r="I57" s="78"/>
      <c r="J57" s="91" t="str">
        <f ca="1">Database!F54</f>
        <v>X</v>
      </c>
      <c r="K57" s="79"/>
      <c r="L57" s="82"/>
      <c r="M57" s="83"/>
      <c r="N57" s="79"/>
      <c r="O57" s="80"/>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row>
    <row r="58" spans="1:250">
      <c r="A58" s="84" t="str">
        <f ca="1">Database!E55</f>
        <v>Four 1 Gbps RJ45 SFP Transceivers 10/100BASE-TX/1000BASE-T Ethernet ports (Not CE marked) (Withdraw)</v>
      </c>
      <c r="B58" s="85"/>
      <c r="C58" s="85"/>
      <c r="D58" s="88"/>
      <c r="E58" s="78"/>
      <c r="F58" s="78"/>
      <c r="G58" s="78"/>
      <c r="H58" s="78"/>
      <c r="I58" s="78"/>
      <c r="J58" s="91" t="str">
        <f ca="1">Database!F55</f>
        <v>J</v>
      </c>
      <c r="K58" s="79"/>
      <c r="L58" s="82"/>
      <c r="M58" s="83"/>
      <c r="N58" s="79"/>
      <c r="O58" s="80"/>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row>
    <row r="59" spans="1:250">
      <c r="A59" s="92"/>
      <c r="B59" s="119"/>
      <c r="C59" s="119"/>
      <c r="D59" s="120"/>
      <c r="E59" s="120"/>
      <c r="F59" s="120"/>
      <c r="G59" s="120"/>
      <c r="H59" s="120"/>
      <c r="I59" s="120"/>
      <c r="J59" s="120"/>
      <c r="K59" s="79"/>
      <c r="L59" s="82"/>
      <c r="M59" s="83"/>
      <c r="N59" s="79"/>
      <c r="O59" s="80"/>
    </row>
    <row r="60" spans="1:250">
      <c r="A60" s="76" t="str">
        <f>Database!B57</f>
        <v>Interface Module 4</v>
      </c>
      <c r="K60" s="79"/>
      <c r="L60" s="82"/>
      <c r="M60" s="83"/>
      <c r="N60" s="79"/>
      <c r="O60" s="80"/>
    </row>
    <row r="61" spans="1:250">
      <c r="A61" s="84" t="str">
        <f ca="1">Database!E58</f>
        <v>Four 1 Gbps RJ45 copper 10/100BASE-TX/1000BASE-T Ethernet ports</v>
      </c>
      <c r="K61" s="91" t="str">
        <f ca="1">Database!F58</f>
        <v>A</v>
      </c>
      <c r="L61" s="82"/>
      <c r="M61" s="83"/>
      <c r="N61" s="79"/>
      <c r="O61" s="80"/>
    </row>
    <row r="62" spans="1:250">
      <c r="A62" s="84" t="str">
        <f ca="1">Database!E59</f>
        <v>Four slots for SFP transceivers</v>
      </c>
      <c r="K62" s="91" t="str">
        <f ca="1">Database!F59</f>
        <v>B</v>
      </c>
      <c r="L62" s="82"/>
      <c r="M62" s="83"/>
      <c r="N62" s="79"/>
      <c r="O62" s="80"/>
    </row>
    <row r="63" spans="1:250">
      <c r="A63" s="84" t="str">
        <f ca="1">Database!E60</f>
        <v>Four 1 Gbps LC-type connector multi mode fiber 1000BASE-SX Ethernet for up to 0.5 km</v>
      </c>
      <c r="K63" s="91" t="str">
        <f ca="1">Database!F60</f>
        <v>C</v>
      </c>
      <c r="L63" s="82"/>
      <c r="M63" s="83"/>
      <c r="N63" s="79"/>
      <c r="O63" s="80"/>
    </row>
    <row r="64" spans="1:250">
      <c r="A64" s="84" t="str">
        <f ca="1">Database!E61</f>
        <v>Four 1 Gbps LC-type connector single mode fiber 1000BASE-LX Ethernet for up to 10 km</v>
      </c>
      <c r="K64" s="91" t="str">
        <f ca="1">Database!F61</f>
        <v>D</v>
      </c>
      <c r="L64" s="82"/>
      <c r="M64" s="83"/>
      <c r="N64" s="79"/>
      <c r="O64" s="80"/>
    </row>
    <row r="65" spans="1:15">
      <c r="A65" s="84" t="str">
        <f ca="1">Database!E62</f>
        <v>Four 1 Gbps LC-type connector single mode fiber 1000BASE-ZX Ethernet for up to 40 km</v>
      </c>
      <c r="K65" s="91" t="str">
        <f ca="1">Database!F62</f>
        <v>E</v>
      </c>
      <c r="L65" s="82"/>
      <c r="M65" s="83"/>
      <c r="N65" s="79"/>
      <c r="O65" s="80"/>
    </row>
    <row r="66" spans="1:15">
      <c r="A66" s="84" t="str">
        <f ca="1">Database!E63</f>
        <v>Four 1 Gbps LC-type connector single mode fiber 1000BASE-ZX Ethernet for up to 80 km</v>
      </c>
      <c r="K66" s="91" t="str">
        <f ca="1">Database!F63</f>
        <v>F</v>
      </c>
      <c r="L66" s="82"/>
      <c r="M66" s="83"/>
      <c r="N66" s="79"/>
      <c r="O66" s="80"/>
    </row>
    <row r="67" spans="1:15">
      <c r="A67" s="84" t="str">
        <f ca="1">Database!E64</f>
        <v>Four 100 Mbps LC-type connector multi mode fiber 100BASE-FX Ethernet for up to 2 km</v>
      </c>
      <c r="K67" s="91" t="str">
        <f ca="1">Database!F64</f>
        <v>H</v>
      </c>
      <c r="L67" s="82"/>
      <c r="M67" s="83"/>
      <c r="N67" s="79"/>
      <c r="O67" s="80"/>
    </row>
    <row r="68" spans="1:15">
      <c r="A68" s="84" t="str">
        <f ca="1">Database!E65</f>
        <v>Four RJ45 copper 10/100BASE-TX</v>
      </c>
      <c r="K68" s="91" t="str">
        <f ca="1">Database!F65</f>
        <v>I</v>
      </c>
      <c r="L68" s="82"/>
      <c r="M68" s="83"/>
      <c r="N68" s="79"/>
      <c r="O68" s="80"/>
    </row>
    <row r="69" spans="1:15">
      <c r="A69" s="84" t="str">
        <f ca="1">Database!E66</f>
        <v>Not installed</v>
      </c>
      <c r="K69" s="91" t="str">
        <f ca="1">Database!F66</f>
        <v>X</v>
      </c>
      <c r="L69" s="82"/>
      <c r="M69" s="83"/>
      <c r="N69" s="79"/>
      <c r="O69" s="80"/>
    </row>
    <row r="70" spans="1:15">
      <c r="A70" s="84" t="str">
        <f ca="1">Database!E67</f>
        <v>Four 1 Gbps RJ45 SFP Transceivers 10/100BASE-TX/1000BASE-T Ethernet ports (Not CE marked) (Withdraw)</v>
      </c>
      <c r="K70" s="91" t="str">
        <f ca="1">Database!F67</f>
        <v>J</v>
      </c>
      <c r="L70" s="82"/>
      <c r="M70" s="83"/>
      <c r="N70" s="79"/>
      <c r="O70" s="80"/>
    </row>
    <row r="71" spans="1:15">
      <c r="A71" s="92"/>
      <c r="B71" s="119"/>
      <c r="C71" s="119"/>
      <c r="D71" s="120"/>
      <c r="E71" s="120"/>
      <c r="F71" s="120"/>
      <c r="G71" s="120"/>
      <c r="H71" s="120"/>
      <c r="I71" s="120"/>
      <c r="J71" s="120"/>
      <c r="K71" s="121"/>
      <c r="L71" s="82"/>
      <c r="M71" s="83"/>
      <c r="N71" s="79"/>
      <c r="O71" s="80"/>
    </row>
    <row r="72" spans="1:15">
      <c r="A72" s="76" t="str">
        <f>Database!B69</f>
        <v>Interface Module 5</v>
      </c>
      <c r="L72" s="82"/>
      <c r="M72" s="83"/>
      <c r="N72" s="79"/>
      <c r="O72" s="80"/>
    </row>
    <row r="73" spans="1:15">
      <c r="A73" s="84" t="str">
        <f ca="1">Database!E70</f>
        <v>Four 1 Gbps RJ45 copper 10/100BASE-TX/1000BASE-T Ethernet ports</v>
      </c>
      <c r="L73" s="91" t="str">
        <f ca="1">Database!F70</f>
        <v>A</v>
      </c>
      <c r="M73" s="83"/>
      <c r="N73" s="79"/>
      <c r="O73" s="80"/>
    </row>
    <row r="74" spans="1:15">
      <c r="A74" s="84" t="str">
        <f ca="1">Database!E71</f>
        <v>Four slots for SFP transceivers</v>
      </c>
      <c r="L74" s="91" t="str">
        <f ca="1">Database!F71</f>
        <v>B</v>
      </c>
      <c r="M74" s="83"/>
      <c r="N74" s="79"/>
      <c r="O74" s="80"/>
    </row>
    <row r="75" spans="1:15">
      <c r="A75" s="84" t="str">
        <f ca="1">Database!E72</f>
        <v>Four 1 Gbps LC-type connector multi mode fiber 1000BASE-SX Ethernet for up to 0.5 km</v>
      </c>
      <c r="L75" s="91" t="str">
        <f ca="1">Database!F72</f>
        <v>C</v>
      </c>
      <c r="M75" s="83"/>
      <c r="N75" s="79"/>
      <c r="O75" s="80"/>
    </row>
    <row r="76" spans="1:15">
      <c r="A76" s="84" t="str">
        <f ca="1">Database!E73</f>
        <v>Four 1 Gbps LC-type connector single mode fiber 1000BASE-LX Ethernet for up to 10 km</v>
      </c>
      <c r="L76" s="91" t="str">
        <f ca="1">Database!F73</f>
        <v>D</v>
      </c>
      <c r="M76" s="83"/>
      <c r="N76" s="79"/>
      <c r="O76" s="80"/>
    </row>
    <row r="77" spans="1:15">
      <c r="A77" s="84" t="str">
        <f ca="1">Database!E74</f>
        <v>Four 1 Gbps LC-type connector single mode fiber 1000BASE-ZX Ethernet for up to 40 km</v>
      </c>
      <c r="L77" s="91" t="str">
        <f ca="1">Database!F74</f>
        <v>E</v>
      </c>
      <c r="M77" s="83"/>
      <c r="N77" s="79"/>
      <c r="O77" s="80"/>
    </row>
    <row r="78" spans="1:15">
      <c r="A78" s="84" t="str">
        <f ca="1">Database!E75</f>
        <v>Four 1 Gbps LC-type connector single mode fiber 1000BASE-ZX Ethernet for up to 80 km</v>
      </c>
      <c r="L78" s="91" t="str">
        <f ca="1">Database!F75</f>
        <v>F</v>
      </c>
      <c r="M78" s="83"/>
      <c r="N78" s="79"/>
      <c r="O78" s="80"/>
    </row>
    <row r="79" spans="1:15">
      <c r="A79" s="84" t="str">
        <f ca="1">Database!E76</f>
        <v>Four 100 Mbps LC-type connector multi mode fiber 100BASE-FX Ethernet for up to 2 km</v>
      </c>
      <c r="L79" s="91" t="str">
        <f ca="1">Database!F76</f>
        <v>H</v>
      </c>
      <c r="M79" s="83"/>
      <c r="N79" s="79"/>
      <c r="O79" s="80"/>
    </row>
    <row r="80" spans="1:15">
      <c r="A80" s="84" t="str">
        <f ca="1">Database!E77</f>
        <v>Four RJ45 copper 10/100BASE-TX</v>
      </c>
      <c r="L80" s="91" t="str">
        <f ca="1">Database!F77</f>
        <v>I</v>
      </c>
      <c r="M80" s="83"/>
      <c r="N80" s="79"/>
      <c r="O80" s="80"/>
    </row>
    <row r="81" spans="1:15">
      <c r="A81" s="84" t="str">
        <f ca="1">Database!E78</f>
        <v>Not installed</v>
      </c>
      <c r="L81" s="91" t="str">
        <f ca="1">Database!F78</f>
        <v>X</v>
      </c>
      <c r="M81" s="83"/>
      <c r="N81" s="79"/>
      <c r="O81" s="80"/>
    </row>
    <row r="82" spans="1:15">
      <c r="A82" s="84" t="str">
        <f ca="1">Database!E79</f>
        <v>Four 1 Gbps RJ45 SFP Transceivers 10/100BASE-TX/1000BASE-T Ethernet ports (Not CE marked) (Withdraw)</v>
      </c>
      <c r="L82" s="91" t="str">
        <f ca="1">Database!F79</f>
        <v>J</v>
      </c>
      <c r="M82" s="83"/>
      <c r="N82" s="79"/>
      <c r="O82" s="80"/>
    </row>
    <row r="83" spans="1:15">
      <c r="A83" s="84"/>
      <c r="M83" s="83"/>
      <c r="N83" s="79"/>
      <c r="O83" s="80"/>
    </row>
    <row r="84" spans="1:15">
      <c r="A84" s="89" t="str">
        <f>Database!B81</f>
        <v>Interface Module 6</v>
      </c>
      <c r="B84" s="129"/>
      <c r="C84" s="129"/>
      <c r="D84" s="130"/>
      <c r="E84" s="130"/>
      <c r="F84" s="130"/>
      <c r="G84" s="130"/>
      <c r="H84" s="130"/>
      <c r="I84" s="130"/>
      <c r="J84" s="130"/>
      <c r="K84" s="130"/>
      <c r="L84" s="130"/>
      <c r="M84" s="83"/>
      <c r="N84" s="79"/>
      <c r="O84" s="80"/>
    </row>
    <row r="85" spans="1:15">
      <c r="A85" s="84" t="str">
        <f ca="1">Database!E82</f>
        <v>Four 1 Gbps RJ45 copper 10/100BASE-TX/1000BASE-T Ethernet ports</v>
      </c>
      <c r="B85" s="66"/>
      <c r="C85" s="66"/>
      <c r="D85" s="67"/>
      <c r="E85" s="67"/>
      <c r="F85" s="67"/>
      <c r="G85" s="67"/>
      <c r="H85" s="67"/>
      <c r="I85" s="67"/>
      <c r="J85" s="67"/>
      <c r="M85" s="91" t="str">
        <f ca="1">Database!F82</f>
        <v>A</v>
      </c>
      <c r="N85" s="79"/>
      <c r="O85" s="80"/>
    </row>
    <row r="86" spans="1:15">
      <c r="A86" s="84" t="str">
        <f ca="1">Database!E83</f>
        <v>Four slots for SFP transceivers</v>
      </c>
      <c r="B86" s="66"/>
      <c r="C86" s="66"/>
      <c r="D86" s="67"/>
      <c r="E86" s="67"/>
      <c r="F86" s="67"/>
      <c r="G86" s="67"/>
      <c r="H86" s="67"/>
      <c r="I86" s="67"/>
      <c r="J86" s="67"/>
      <c r="M86" s="91" t="str">
        <f ca="1">Database!F83</f>
        <v>B</v>
      </c>
      <c r="N86" s="79"/>
      <c r="O86" s="80"/>
    </row>
    <row r="87" spans="1:15">
      <c r="A87" s="84" t="str">
        <f ca="1">Database!E84</f>
        <v>Four 1 Gbps LC-type connector multi mode fiber 1000BASE-SX Ethernet for up to 0.5 km</v>
      </c>
      <c r="B87" s="66"/>
      <c r="C87" s="66"/>
      <c r="D87" s="67"/>
      <c r="E87" s="67"/>
      <c r="F87" s="67"/>
      <c r="G87" s="67"/>
      <c r="H87" s="67"/>
      <c r="I87" s="67"/>
      <c r="J87" s="67"/>
      <c r="M87" s="91" t="str">
        <f ca="1">Database!F84</f>
        <v>C</v>
      </c>
      <c r="N87" s="79"/>
      <c r="O87" s="80"/>
    </row>
    <row r="88" spans="1:15">
      <c r="A88" s="84" t="str">
        <f ca="1">Database!E85</f>
        <v>Four 1 Gbps LC-type connector single mode fiber 1000BASE-LX Ethernet for up to 10 km</v>
      </c>
      <c r="B88" s="66"/>
      <c r="C88" s="66"/>
      <c r="D88" s="67"/>
      <c r="E88" s="67"/>
      <c r="F88" s="67"/>
      <c r="G88" s="67"/>
      <c r="H88" s="67"/>
      <c r="I88" s="67"/>
      <c r="J88" s="67"/>
      <c r="M88" s="91" t="str">
        <f ca="1">Database!F85</f>
        <v>D</v>
      </c>
      <c r="N88" s="79"/>
      <c r="O88" s="80"/>
    </row>
    <row r="89" spans="1:15">
      <c r="A89" s="84" t="str">
        <f ca="1">Database!E86</f>
        <v>Four 1 Gbps LC-type connector single mode fiber 1000BASE-ZX Ethernet for up to 40 km</v>
      </c>
      <c r="B89" s="66"/>
      <c r="C89" s="66"/>
      <c r="D89" s="67"/>
      <c r="E89" s="67"/>
      <c r="F89" s="67"/>
      <c r="G89" s="67"/>
      <c r="H89" s="67"/>
      <c r="I89" s="67"/>
      <c r="J89" s="67"/>
      <c r="M89" s="91" t="str">
        <f ca="1">Database!F86</f>
        <v>E</v>
      </c>
      <c r="N89" s="79"/>
      <c r="O89" s="80"/>
    </row>
    <row r="90" spans="1:15">
      <c r="A90" s="84" t="str">
        <f ca="1">Database!E87</f>
        <v>Four 1 Gbps LC-type connector single mode fiber 1000BASE-ZX Ethernet for up to 80 km</v>
      </c>
      <c r="B90" s="66"/>
      <c r="C90" s="66"/>
      <c r="D90" s="67"/>
      <c r="E90" s="67"/>
      <c r="F90" s="67"/>
      <c r="G90" s="67"/>
      <c r="H90" s="67"/>
      <c r="I90" s="67"/>
      <c r="J90" s="67"/>
      <c r="M90" s="91" t="str">
        <f ca="1">Database!F87</f>
        <v>F</v>
      </c>
      <c r="N90" s="79"/>
      <c r="O90" s="80"/>
    </row>
    <row r="91" spans="1:15">
      <c r="A91" s="84" t="str">
        <f ca="1">Database!E88</f>
        <v>Four 100 Mbps LC-type connector multi mode fiber 100BASE-FX Ethernet for up to 2 km</v>
      </c>
      <c r="B91" s="66"/>
      <c r="C91" s="66"/>
      <c r="D91" s="67"/>
      <c r="E91" s="67"/>
      <c r="F91" s="67"/>
      <c r="G91" s="67"/>
      <c r="H91" s="67"/>
      <c r="I91" s="67"/>
      <c r="J91" s="67"/>
      <c r="M91" s="91" t="str">
        <f ca="1">Database!F88</f>
        <v>H</v>
      </c>
      <c r="N91" s="79"/>
      <c r="O91" s="80"/>
    </row>
    <row r="92" spans="1:15">
      <c r="A92" s="84" t="str">
        <f ca="1">Database!E89</f>
        <v>Four RJ45 copper 10/100BASE-TX</v>
      </c>
      <c r="B92" s="66"/>
      <c r="C92" s="66"/>
      <c r="D92" s="67"/>
      <c r="E92" s="67"/>
      <c r="F92" s="67"/>
      <c r="G92" s="67"/>
      <c r="H92" s="67"/>
      <c r="I92" s="67"/>
      <c r="J92" s="67"/>
      <c r="M92" s="91" t="str">
        <f ca="1">Database!F89</f>
        <v>I</v>
      </c>
      <c r="N92" s="79"/>
      <c r="O92" s="80"/>
    </row>
    <row r="93" spans="1:15">
      <c r="A93" s="84" t="str">
        <f ca="1">Database!E90</f>
        <v>Not installed</v>
      </c>
      <c r="B93" s="66"/>
      <c r="C93" s="66"/>
      <c r="D93" s="67"/>
      <c r="E93" s="67"/>
      <c r="F93" s="67"/>
      <c r="G93" s="67"/>
      <c r="H93" s="67"/>
      <c r="I93" s="67"/>
      <c r="J93" s="67"/>
      <c r="M93" s="91" t="str">
        <f ca="1">Database!F90</f>
        <v>X</v>
      </c>
      <c r="N93" s="79"/>
      <c r="O93" s="80"/>
    </row>
    <row r="94" spans="1:15">
      <c r="A94" s="84" t="str">
        <f ca="1">Database!E91</f>
        <v>Four 1 Gbps RJ45 SFP Transceivers 10/100BASE-TX/1000BASE-T Ethernet ports (Not CE marked) (Withdraw)</v>
      </c>
      <c r="B94" s="66"/>
      <c r="C94" s="66"/>
      <c r="D94" s="67"/>
      <c r="E94" s="67"/>
      <c r="F94" s="67"/>
      <c r="G94" s="67"/>
      <c r="H94" s="67"/>
      <c r="I94" s="67"/>
      <c r="J94" s="67"/>
      <c r="M94" s="91" t="str">
        <f ca="1">Database!F91</f>
        <v>J</v>
      </c>
      <c r="N94" s="79"/>
      <c r="O94" s="80"/>
    </row>
    <row r="95" spans="1:15">
      <c r="A95" s="84"/>
      <c r="B95" s="119"/>
      <c r="C95" s="119"/>
      <c r="D95" s="120"/>
      <c r="E95" s="120"/>
      <c r="F95" s="120"/>
      <c r="G95" s="120"/>
      <c r="H95" s="120"/>
      <c r="I95" s="120"/>
      <c r="J95" s="120"/>
      <c r="K95" s="120"/>
      <c r="L95" s="120"/>
      <c r="M95" s="120"/>
      <c r="N95" s="79"/>
      <c r="O95" s="80"/>
    </row>
    <row r="96" spans="1:15">
      <c r="A96" s="89" t="str">
        <f>Database!B93</f>
        <v>Firmware Version</v>
      </c>
      <c r="B96" s="66"/>
      <c r="C96" s="66"/>
      <c r="D96" s="67"/>
      <c r="E96" s="67"/>
      <c r="F96" s="67"/>
      <c r="G96" s="67"/>
      <c r="H96" s="67"/>
      <c r="I96" s="67"/>
      <c r="J96" s="67"/>
      <c r="N96" s="79"/>
      <c r="O96" s="80"/>
    </row>
    <row r="97" spans="1:15">
      <c r="A97" s="84" t="str">
        <f ca="1">Database!E94</f>
        <v>Latest available firmware - 06</v>
      </c>
      <c r="B97" s="66"/>
      <c r="C97" s="66"/>
      <c r="D97" s="67"/>
      <c r="E97" s="67"/>
      <c r="F97" s="67"/>
      <c r="G97" s="67"/>
      <c r="H97" s="67"/>
      <c r="I97" s="67"/>
      <c r="J97" s="67"/>
      <c r="N97" s="91" t="str">
        <f ca="1">Database!F94</f>
        <v>06</v>
      </c>
      <c r="O97" s="80"/>
    </row>
    <row r="98" spans="1:15" s="268" customFormat="1">
      <c r="A98" s="270" t="str">
        <f ca="1">Database!E95</f>
        <v>Firmware version number - 05</v>
      </c>
      <c r="B98" s="266"/>
      <c r="C98" s="266"/>
      <c r="D98" s="267"/>
      <c r="E98" s="267"/>
      <c r="F98" s="267"/>
      <c r="G98" s="267"/>
      <c r="H98" s="267"/>
      <c r="I98" s="267"/>
      <c r="J98" s="267"/>
      <c r="K98" s="267"/>
      <c r="L98" s="267"/>
      <c r="M98" s="267"/>
      <c r="N98" s="271" t="str">
        <f ca="1">Database!F95</f>
        <v>05</v>
      </c>
      <c r="O98" s="269"/>
    </row>
    <row r="99" spans="1:15">
      <c r="A99" s="84"/>
      <c r="B99" s="66"/>
      <c r="C99" s="66"/>
      <c r="D99" s="67"/>
      <c r="E99" s="67"/>
      <c r="F99" s="67"/>
      <c r="G99" s="67"/>
      <c r="H99" s="67"/>
      <c r="I99" s="67"/>
      <c r="J99" s="67"/>
      <c r="N99" s="67"/>
      <c r="O99" s="80"/>
    </row>
    <row r="100" spans="1:15">
      <c r="A100" s="89" t="str">
        <f>Database!B97</f>
        <v>Hardware Design Suffix</v>
      </c>
      <c r="B100" s="71"/>
      <c r="C100" s="71"/>
      <c r="D100" s="90"/>
      <c r="E100" s="77"/>
      <c r="F100" s="77"/>
      <c r="G100" s="77"/>
      <c r="H100" s="77"/>
      <c r="I100" s="77"/>
      <c r="J100" s="129"/>
      <c r="K100" s="130"/>
      <c r="L100" s="130"/>
      <c r="M100" s="130"/>
      <c r="N100" s="130"/>
      <c r="O100" s="80"/>
    </row>
    <row r="101" spans="1:15">
      <c r="A101" s="84" t="str">
        <f ca="1">Database!E98</f>
        <v>Standard hardware release</v>
      </c>
      <c r="B101" s="85"/>
      <c r="C101" s="85"/>
      <c r="D101" s="88"/>
      <c r="E101" s="78"/>
      <c r="F101" s="78"/>
      <c r="G101" s="78"/>
      <c r="H101" s="78"/>
      <c r="I101" s="78"/>
      <c r="J101" s="66"/>
      <c r="N101" s="68"/>
      <c r="O101" s="91" t="str">
        <f ca="1">Database!F98</f>
        <v>B</v>
      </c>
    </row>
    <row r="102" spans="1:15">
      <c r="A102" s="84" t="str">
        <f ca="1">Database!E99</f>
        <v>Alternate hardware release (Withdraw)</v>
      </c>
      <c r="B102" s="85"/>
      <c r="C102" s="85"/>
      <c r="D102" s="88"/>
      <c r="E102" s="78"/>
      <c r="F102" s="78"/>
      <c r="G102" s="78"/>
      <c r="H102" s="78"/>
      <c r="I102" s="78"/>
      <c r="J102" s="66"/>
      <c r="N102" s="68"/>
      <c r="O102" s="91" t="str">
        <f ca="1">Database!F99</f>
        <v>BL</v>
      </c>
    </row>
    <row r="103" spans="1:15">
      <c r="A103" s="131"/>
      <c r="B103" s="119"/>
      <c r="C103" s="119"/>
      <c r="D103" s="119"/>
      <c r="E103" s="119"/>
      <c r="F103" s="119"/>
      <c r="G103" s="119"/>
      <c r="H103" s="119"/>
      <c r="I103" s="119"/>
      <c r="J103" s="119"/>
      <c r="K103" s="119"/>
      <c r="L103" s="119"/>
      <c r="M103" s="119"/>
      <c r="N103" s="119"/>
      <c r="O103" s="236"/>
    </row>
  </sheetData>
  <sheetProtection password="C927" sheet="1" objects="1" scenarios="1"/>
  <mergeCells count="1">
    <mergeCell ref="B4:C4"/>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1:W36"/>
  <sheetViews>
    <sheetView showGridLines="0" showRowColHeaders="0" zoomScaleNormal="100" workbookViewId="0">
      <pane ySplit="4" topLeftCell="A5" activePane="bottomLeft" state="frozen"/>
      <selection pane="bottomLeft"/>
    </sheetView>
  </sheetViews>
  <sheetFormatPr defaultRowHeight="14.25"/>
  <cols>
    <col min="1" max="1" width="4.5703125" style="28" customWidth="1"/>
    <col min="2" max="4" width="9.140625" style="28"/>
    <col min="5" max="5" width="85.7109375" style="28" customWidth="1"/>
    <col min="6" max="6" width="13.7109375" style="28" customWidth="1"/>
    <col min="7" max="7" width="4.5703125" style="65" customWidth="1"/>
    <col min="8" max="15" width="3.28515625" style="65" customWidth="1"/>
    <col min="16" max="16" width="5.85546875" style="65" bestFit="1" customWidth="1"/>
    <col min="17" max="17" width="5.85546875" style="65" customWidth="1"/>
    <col min="18" max="18" width="4" style="28" customWidth="1"/>
    <col min="19" max="20" width="3.5703125" style="28" hidden="1" customWidth="1"/>
    <col min="21" max="21" width="15.7109375" style="103" hidden="1" customWidth="1"/>
    <col min="22" max="22" width="4" style="28" hidden="1" customWidth="1"/>
    <col min="23" max="23" width="9.140625" style="103"/>
    <col min="24" max="16384" width="9.140625" style="28"/>
  </cols>
  <sheetData>
    <row r="1" spans="1:23" ht="21" thickBot="1">
      <c r="A1" s="275" t="str">
        <f>HLOOKUP(Language!$C$3,Language!$E$1:$Z533,78,FALSE)</f>
        <v>THIS CORTEC FILE HAS BEEN REPLACED BY THE S20 CORTEC FILE</v>
      </c>
    </row>
    <row r="2" spans="1:23" ht="18">
      <c r="A2" s="102" t="str">
        <f ca="1">Database!E2</f>
        <v>S2024G Modular Managed Ethernet Switch</v>
      </c>
      <c r="B2" s="25"/>
      <c r="C2" s="25"/>
      <c r="D2" s="25"/>
      <c r="E2" s="25"/>
      <c r="F2" s="25"/>
      <c r="G2" s="26"/>
      <c r="H2" s="26"/>
      <c r="I2" s="26"/>
      <c r="J2" s="26"/>
      <c r="K2" s="26"/>
      <c r="L2" s="26"/>
      <c r="M2" s="26"/>
      <c r="N2" s="26"/>
      <c r="O2" s="26"/>
      <c r="P2" s="26"/>
      <c r="Q2" s="26"/>
      <c r="R2" s="27"/>
      <c r="U2" s="156" t="str">
        <f>HLOOKUP(Language!$C$3,Language!$E$1:$Z501,46,FALSE)</f>
        <v>Material Cost</v>
      </c>
      <c r="V2" s="157"/>
      <c r="W2" s="158"/>
    </row>
    <row r="3" spans="1:23">
      <c r="A3" s="29"/>
      <c r="B3" s="30"/>
      <c r="C3" s="30"/>
      <c r="D3" s="30"/>
      <c r="E3" s="30"/>
      <c r="F3" s="73" t="s">
        <v>124</v>
      </c>
      <c r="G3" s="74">
        <v>7</v>
      </c>
      <c r="H3" s="75">
        <v>8</v>
      </c>
      <c r="I3" s="73">
        <v>9</v>
      </c>
      <c r="J3" s="74">
        <v>10</v>
      </c>
      <c r="K3" s="74">
        <v>11</v>
      </c>
      <c r="L3" s="74">
        <v>12</v>
      </c>
      <c r="M3" s="74">
        <v>13</v>
      </c>
      <c r="N3" s="74">
        <v>14</v>
      </c>
      <c r="O3" s="74">
        <v>15</v>
      </c>
      <c r="P3" s="74" t="s">
        <v>115</v>
      </c>
      <c r="Q3" s="74" t="s">
        <v>116</v>
      </c>
      <c r="R3" s="31"/>
      <c r="U3" s="159">
        <f ca="1">SUM(U4:U502)</f>
        <v>0</v>
      </c>
      <c r="V3" s="31"/>
      <c r="W3" s="105"/>
    </row>
    <row r="4" spans="1:23" s="37" customFormat="1" ht="18" customHeight="1">
      <c r="A4" s="32"/>
      <c r="B4" s="33"/>
      <c r="C4" s="33"/>
      <c r="D4" s="33"/>
      <c r="E4" s="34"/>
      <c r="F4" s="185" t="str">
        <f>Database!E3</f>
        <v>S2024G</v>
      </c>
      <c r="G4" s="35">
        <f ca="1">G6</f>
        <v>1</v>
      </c>
      <c r="H4" s="35">
        <f ca="1">G8</f>
        <v>1</v>
      </c>
      <c r="I4" s="35" t="str">
        <f ca="1">G10</f>
        <v>P</v>
      </c>
      <c r="J4" s="35" t="str">
        <f ca="1">G12</f>
        <v>M</v>
      </c>
      <c r="K4" s="35" t="str">
        <f ca="1">G14</f>
        <v>A</v>
      </c>
      <c r="L4" s="35" t="str">
        <f ca="1">G16</f>
        <v>X</v>
      </c>
      <c r="M4" s="35" t="str">
        <f ca="1">G18</f>
        <v>X</v>
      </c>
      <c r="N4" s="123" t="str">
        <f ca="1">G20</f>
        <v>X</v>
      </c>
      <c r="O4" s="117" t="str">
        <f ca="1">G22</f>
        <v>H</v>
      </c>
      <c r="P4" s="117" t="str">
        <f ca="1">G24</f>
        <v>06</v>
      </c>
      <c r="Q4" s="117" t="str">
        <f ca="1">G26</f>
        <v>B</v>
      </c>
      <c r="R4" s="36"/>
      <c r="U4" s="159">
        <f ca="1">Database!G2</f>
        <v>0</v>
      </c>
      <c r="V4" s="36"/>
      <c r="W4" s="105"/>
    </row>
    <row r="5" spans="1:23" s="37" customFormat="1" ht="18" customHeight="1">
      <c r="A5" s="38" t="str">
        <f>Database!B5</f>
        <v>Power Supply 1</v>
      </c>
      <c r="B5" s="39"/>
      <c r="C5" s="39"/>
      <c r="D5" s="39"/>
      <c r="E5" s="39"/>
      <c r="F5" s="40"/>
      <c r="G5" s="48"/>
      <c r="H5" s="106"/>
      <c r="I5" s="107"/>
      <c r="J5" s="41"/>
      <c r="K5" s="106"/>
      <c r="L5" s="107"/>
      <c r="M5" s="126" t="s">
        <v>84</v>
      </c>
      <c r="N5" s="106"/>
      <c r="O5" s="118"/>
      <c r="P5" s="106"/>
      <c r="Q5" s="107"/>
      <c r="R5" s="36"/>
      <c r="U5" s="159"/>
      <c r="V5" s="31"/>
      <c r="W5" s="105"/>
    </row>
    <row r="6" spans="1:23" s="37" customFormat="1" ht="24" customHeight="1">
      <c r="A6" s="42"/>
      <c r="B6" s="39"/>
      <c r="C6" s="39"/>
      <c r="D6" s="39"/>
      <c r="E6" s="39"/>
      <c r="F6" s="40"/>
      <c r="G6" s="35">
        <f ca="1">Database!F5</f>
        <v>1</v>
      </c>
      <c r="H6" s="106"/>
      <c r="I6" s="107"/>
      <c r="J6" s="41"/>
      <c r="K6" s="106"/>
      <c r="L6" s="107"/>
      <c r="M6" s="127" t="s">
        <v>84</v>
      </c>
      <c r="N6" s="106"/>
      <c r="O6" s="107"/>
      <c r="P6" s="106"/>
      <c r="Q6" s="107"/>
      <c r="R6" s="36"/>
      <c r="U6" s="159"/>
      <c r="V6" s="31"/>
      <c r="W6" s="104" t="str">
        <f ca="1">IF(Database!H5="N",HLOOKUP(Language!$C$3,Language!$E$1:$Z501,47,FALSE),"")</f>
        <v/>
      </c>
    </row>
    <row r="7" spans="1:23" ht="18" customHeight="1">
      <c r="A7" s="38" t="str">
        <f>Database!B9</f>
        <v>Power Supply 2</v>
      </c>
      <c r="B7" s="43"/>
      <c r="C7" s="44"/>
      <c r="D7" s="44"/>
      <c r="E7" s="44"/>
      <c r="F7" s="44"/>
      <c r="G7" s="186"/>
      <c r="H7" s="106"/>
      <c r="I7" s="107"/>
      <c r="J7" s="41"/>
      <c r="K7" s="106"/>
      <c r="L7" s="107"/>
      <c r="M7" s="127" t="s">
        <v>84</v>
      </c>
      <c r="N7" s="106"/>
      <c r="O7" s="107"/>
      <c r="P7" s="106"/>
      <c r="Q7" s="107"/>
      <c r="R7" s="31"/>
      <c r="U7" s="159"/>
      <c r="V7" s="31"/>
      <c r="W7" s="105"/>
    </row>
    <row r="8" spans="1:23" ht="36" customHeight="1">
      <c r="A8" s="46"/>
      <c r="B8" s="44"/>
      <c r="C8" s="44"/>
      <c r="D8" s="47"/>
      <c r="E8" s="44"/>
      <c r="F8" s="44"/>
      <c r="G8" s="35">
        <f ca="1">Database!F9</f>
        <v>1</v>
      </c>
      <c r="H8" s="109"/>
      <c r="I8" s="107"/>
      <c r="J8" s="41"/>
      <c r="K8" s="106"/>
      <c r="L8" s="107"/>
      <c r="M8" s="127" t="s">
        <v>84</v>
      </c>
      <c r="N8" s="106"/>
      <c r="O8" s="107"/>
      <c r="P8" s="106"/>
      <c r="Q8" s="107"/>
      <c r="R8" s="31"/>
      <c r="U8" s="159"/>
      <c r="V8" s="31"/>
      <c r="W8" s="104" t="str">
        <f ca="1">IF(Database!H9="N",HLOOKUP(Language!$C$3,Language!$E$1:$Z501,47,FALSE),"")</f>
        <v/>
      </c>
    </row>
    <row r="9" spans="1:23" ht="18" customHeight="1">
      <c r="A9" s="38" t="str">
        <f>Database!B14</f>
        <v>Mounting Options</v>
      </c>
      <c r="B9" s="44"/>
      <c r="C9" s="44"/>
      <c r="D9" s="44"/>
      <c r="E9" s="44"/>
      <c r="F9" s="44"/>
      <c r="G9" s="187"/>
      <c r="H9" s="113"/>
      <c r="I9" s="107"/>
      <c r="J9" s="41"/>
      <c r="K9" s="106"/>
      <c r="L9" s="107"/>
      <c r="M9" s="127" t="s">
        <v>84</v>
      </c>
      <c r="N9" s="106"/>
      <c r="O9" s="107"/>
      <c r="P9" s="106"/>
      <c r="Q9" s="107"/>
      <c r="R9" s="31"/>
      <c r="U9" s="159"/>
      <c r="V9" s="31"/>
      <c r="W9" s="105"/>
    </row>
    <row r="10" spans="1:23" ht="24" customHeight="1">
      <c r="A10" s="46"/>
      <c r="B10" s="44"/>
      <c r="C10" s="44"/>
      <c r="D10" s="44"/>
      <c r="E10" s="44"/>
      <c r="F10" s="44"/>
      <c r="G10" s="35" t="str">
        <f ca="1">Database!F14</f>
        <v>P</v>
      </c>
      <c r="H10" s="114"/>
      <c r="I10" s="112"/>
      <c r="J10" s="41"/>
      <c r="K10" s="106"/>
      <c r="L10" s="107"/>
      <c r="M10" s="127" t="s">
        <v>84</v>
      </c>
      <c r="N10" s="106"/>
      <c r="O10" s="107"/>
      <c r="P10" s="106"/>
      <c r="Q10" s="107"/>
      <c r="R10" s="31"/>
      <c r="U10" s="159"/>
      <c r="V10" s="31"/>
      <c r="W10" s="104" t="str">
        <f ca="1">IF(Database!H14="N",HLOOKUP(Language!$C$3,Language!$E$1:$Z501,47,FALSE),"")</f>
        <v/>
      </c>
    </row>
    <row r="11" spans="1:23" ht="18" customHeight="1">
      <c r="A11" s="49" t="str">
        <f>Database!B18</f>
        <v>Interface Module 1</v>
      </c>
      <c r="B11" s="50"/>
      <c r="C11" s="44"/>
      <c r="D11" s="44"/>
      <c r="E11" s="44"/>
      <c r="F11" s="44"/>
      <c r="G11" s="188"/>
      <c r="H11" s="45"/>
      <c r="I11" s="45"/>
      <c r="J11" s="41"/>
      <c r="K11" s="106"/>
      <c r="L11" s="107"/>
      <c r="M11" s="127" t="s">
        <v>84</v>
      </c>
      <c r="N11" s="106"/>
      <c r="O11" s="107"/>
      <c r="P11" s="106"/>
      <c r="Q11" s="107"/>
      <c r="R11" s="31"/>
      <c r="U11" s="159"/>
      <c r="V11" s="31"/>
      <c r="W11" s="105"/>
    </row>
    <row r="12" spans="1:23" ht="135" customHeight="1">
      <c r="A12" s="46"/>
      <c r="B12" s="51"/>
      <c r="C12" s="52"/>
      <c r="D12" s="52"/>
      <c r="E12" s="52"/>
      <c r="F12" s="53"/>
      <c r="G12" s="35" t="str">
        <f ca="1">Database!F18</f>
        <v>M</v>
      </c>
      <c r="H12" s="115"/>
      <c r="I12" s="115"/>
      <c r="J12" s="111"/>
      <c r="K12" s="106"/>
      <c r="L12" s="107"/>
      <c r="M12" s="127" t="s">
        <v>84</v>
      </c>
      <c r="N12" s="106"/>
      <c r="O12" s="107"/>
      <c r="P12" s="106"/>
      <c r="Q12" s="107"/>
      <c r="R12" s="31"/>
      <c r="U12" s="159"/>
      <c r="V12" s="31"/>
      <c r="W12" s="104" t="str">
        <f ca="1">IF(Database!H18="N",HLOOKUP(Language!$C$3,Language!$E$1:$Z501,47,FALSE),"")</f>
        <v/>
      </c>
    </row>
    <row r="13" spans="1:23" ht="18" customHeight="1">
      <c r="A13" s="38" t="str">
        <f>Database!B33</f>
        <v>Interface Module 2</v>
      </c>
      <c r="B13" s="51"/>
      <c r="C13" s="54"/>
      <c r="D13" s="54"/>
      <c r="E13" s="54"/>
      <c r="F13" s="55"/>
      <c r="G13" s="189"/>
      <c r="H13" s="108"/>
      <c r="I13" s="108"/>
      <c r="J13" s="108"/>
      <c r="K13" s="106"/>
      <c r="L13" s="107"/>
      <c r="M13" s="127" t="s">
        <v>84</v>
      </c>
      <c r="N13" s="106"/>
      <c r="O13" s="107"/>
      <c r="P13" s="106"/>
      <c r="Q13" s="107"/>
      <c r="R13" s="31"/>
      <c r="U13" s="159"/>
      <c r="V13" s="31"/>
      <c r="W13" s="105"/>
    </row>
    <row r="14" spans="1:23" ht="108" customHeight="1">
      <c r="A14" s="46"/>
      <c r="B14" s="56"/>
      <c r="C14" s="55"/>
      <c r="D14" s="55"/>
      <c r="E14" s="55"/>
      <c r="F14" s="57"/>
      <c r="G14" s="35" t="str">
        <f ca="1">Database!F33</f>
        <v>A</v>
      </c>
      <c r="H14" s="110"/>
      <c r="I14" s="110"/>
      <c r="J14" s="110"/>
      <c r="K14" s="109"/>
      <c r="L14" s="107"/>
      <c r="M14" s="127" t="s">
        <v>84</v>
      </c>
      <c r="N14" s="106"/>
      <c r="O14" s="107"/>
      <c r="P14" s="106"/>
      <c r="Q14" s="107"/>
      <c r="R14" s="31"/>
      <c r="U14" s="159"/>
      <c r="V14" s="31"/>
      <c r="W14" s="104" t="str">
        <f ca="1">IF(Database!H33="N",HLOOKUP(Language!$C$3,Language!$E$1:$Z501,47,FALSE),"")</f>
        <v/>
      </c>
    </row>
    <row r="15" spans="1:23" ht="18" customHeight="1">
      <c r="A15" s="38" t="str">
        <f>Database!B45</f>
        <v>Interface Module 3</v>
      </c>
      <c r="B15" s="51"/>
      <c r="C15" s="58"/>
      <c r="D15" s="54"/>
      <c r="E15" s="54"/>
      <c r="F15" s="55"/>
      <c r="G15" s="187"/>
      <c r="H15" s="113"/>
      <c r="I15" s="113"/>
      <c r="J15" s="113"/>
      <c r="K15" s="113"/>
      <c r="L15" s="107"/>
      <c r="M15" s="127" t="s">
        <v>84</v>
      </c>
      <c r="N15" s="106"/>
      <c r="O15" s="107"/>
      <c r="P15" s="106"/>
      <c r="Q15" s="107"/>
      <c r="R15" s="31"/>
      <c r="U15" s="159"/>
      <c r="V15" s="31"/>
      <c r="W15" s="105"/>
    </row>
    <row r="16" spans="1:23" ht="107.25" customHeight="1">
      <c r="A16" s="46"/>
      <c r="B16" s="56"/>
      <c r="C16" s="59"/>
      <c r="D16" s="55"/>
      <c r="E16" s="55"/>
      <c r="F16" s="57"/>
      <c r="G16" s="35" t="str">
        <f ca="1">Database!F45</f>
        <v>X</v>
      </c>
      <c r="H16" s="114"/>
      <c r="I16" s="116"/>
      <c r="J16" s="116"/>
      <c r="K16" s="116"/>
      <c r="L16" s="112"/>
      <c r="M16" s="127" t="s">
        <v>84</v>
      </c>
      <c r="N16" s="106"/>
      <c r="O16" s="107"/>
      <c r="P16" s="106"/>
      <c r="Q16" s="107"/>
      <c r="R16" s="31"/>
      <c r="U16" s="159"/>
      <c r="V16" s="31"/>
      <c r="W16" s="104" t="str">
        <f ca="1">IF(Database!H45="N",HLOOKUP(Language!$C$3,Language!$E$1:$Z501,47,FALSE),"")</f>
        <v/>
      </c>
    </row>
    <row r="17" spans="1:23" ht="18" customHeight="1">
      <c r="A17" s="38" t="str">
        <f>Database!B57</f>
        <v>Interface Module 4</v>
      </c>
      <c r="B17" s="51"/>
      <c r="C17" s="58"/>
      <c r="D17" s="54"/>
      <c r="E17" s="54"/>
      <c r="F17" s="55"/>
      <c r="G17" s="190" t="s">
        <v>84</v>
      </c>
      <c r="H17" s="125" t="s">
        <v>84</v>
      </c>
      <c r="I17" s="125" t="s">
        <v>84</v>
      </c>
      <c r="J17" s="125" t="s">
        <v>84</v>
      </c>
      <c r="K17" s="125" t="s">
        <v>84</v>
      </c>
      <c r="L17" s="125" t="s">
        <v>84</v>
      </c>
      <c r="M17" s="127" t="s">
        <v>84</v>
      </c>
      <c r="N17" s="106"/>
      <c r="O17" s="107"/>
      <c r="P17" s="106"/>
      <c r="Q17" s="107"/>
      <c r="R17" s="31"/>
      <c r="U17" s="159"/>
      <c r="V17" s="31"/>
      <c r="W17" s="105"/>
    </row>
    <row r="18" spans="1:23" ht="105.75" customHeight="1">
      <c r="A18" s="46"/>
      <c r="B18" s="56"/>
      <c r="C18" s="59"/>
      <c r="D18" s="55"/>
      <c r="E18" s="55"/>
      <c r="F18" s="55"/>
      <c r="G18" s="35" t="str">
        <f ca="1">Database!F57</f>
        <v>X</v>
      </c>
      <c r="H18" s="124" t="s">
        <v>84</v>
      </c>
      <c r="I18" s="124" t="s">
        <v>84</v>
      </c>
      <c r="J18" s="124" t="s">
        <v>84</v>
      </c>
      <c r="K18" s="124" t="s">
        <v>84</v>
      </c>
      <c r="L18" s="124" t="s">
        <v>84</v>
      </c>
      <c r="M18" s="128" t="s">
        <v>84</v>
      </c>
      <c r="N18" s="106"/>
      <c r="O18" s="107"/>
      <c r="P18" s="106"/>
      <c r="Q18" s="107"/>
      <c r="R18" s="31"/>
      <c r="U18" s="159"/>
      <c r="V18" s="31"/>
      <c r="W18" s="104" t="str">
        <f ca="1">IF(Database!H57="N",HLOOKUP(Language!$C$3,Language!$E$1:$Z501,47,FALSE),"")</f>
        <v/>
      </c>
    </row>
    <row r="19" spans="1:23" ht="18" customHeight="1">
      <c r="A19" s="38" t="str">
        <f>Database!B69</f>
        <v>Interface Module 5</v>
      </c>
      <c r="B19" s="51"/>
      <c r="C19" s="58"/>
      <c r="D19" s="54"/>
      <c r="E19" s="54"/>
      <c r="F19" s="55"/>
      <c r="G19" s="191"/>
      <c r="H19" s="108"/>
      <c r="I19" s="108"/>
      <c r="J19" s="108"/>
      <c r="K19" s="108"/>
      <c r="L19" s="108"/>
      <c r="M19" s="108"/>
      <c r="N19" s="106"/>
      <c r="O19" s="107"/>
      <c r="P19" s="106"/>
      <c r="Q19" s="107"/>
      <c r="R19" s="31"/>
      <c r="U19" s="159"/>
      <c r="V19" s="31"/>
      <c r="W19" s="105"/>
    </row>
    <row r="20" spans="1:23" ht="108.75" customHeight="1">
      <c r="A20" s="46"/>
      <c r="B20" s="56"/>
      <c r="C20" s="59"/>
      <c r="D20" s="55"/>
      <c r="E20" s="55"/>
      <c r="F20" s="55"/>
      <c r="G20" s="35" t="str">
        <f ca="1">Database!F69</f>
        <v>X</v>
      </c>
      <c r="H20" s="110"/>
      <c r="I20" s="110"/>
      <c r="J20" s="110"/>
      <c r="K20" s="110"/>
      <c r="L20" s="110"/>
      <c r="M20" s="110"/>
      <c r="N20" s="109"/>
      <c r="O20" s="107"/>
      <c r="P20" s="106"/>
      <c r="Q20" s="107"/>
      <c r="R20" s="31"/>
      <c r="U20" s="159"/>
      <c r="V20" s="31"/>
      <c r="W20" s="104" t="str">
        <f ca="1">IF(Database!H69="N",HLOOKUP(Language!$C$3,Language!$E$1:$Z501,47,FALSE),"")</f>
        <v/>
      </c>
    </row>
    <row r="21" spans="1:23" ht="18" customHeight="1">
      <c r="A21" s="60" t="str">
        <f>Database!B81</f>
        <v>Interface Module 6</v>
      </c>
      <c r="B21" s="56"/>
      <c r="C21" s="59"/>
      <c r="D21" s="55"/>
      <c r="E21" s="55"/>
      <c r="F21" s="55"/>
      <c r="G21" s="187"/>
      <c r="H21" s="113"/>
      <c r="I21" s="113"/>
      <c r="J21" s="113"/>
      <c r="K21" s="113"/>
      <c r="L21" s="113"/>
      <c r="M21" s="113"/>
      <c r="N21" s="113"/>
      <c r="O21" s="107"/>
      <c r="P21" s="106"/>
      <c r="Q21" s="107"/>
      <c r="R21" s="31"/>
      <c r="U21" s="159"/>
      <c r="V21" s="31"/>
      <c r="W21" s="105"/>
    </row>
    <row r="22" spans="1:23" ht="107.25" customHeight="1">
      <c r="A22" s="38"/>
      <c r="B22" s="56"/>
      <c r="C22" s="59"/>
      <c r="D22" s="55"/>
      <c r="E22" s="55"/>
      <c r="F22" s="55"/>
      <c r="G22" s="35" t="str">
        <f ca="1">Database!F81</f>
        <v>H</v>
      </c>
      <c r="H22" s="116"/>
      <c r="I22" s="116"/>
      <c r="J22" s="116"/>
      <c r="K22" s="116"/>
      <c r="L22" s="116"/>
      <c r="M22" s="116"/>
      <c r="N22" s="116"/>
      <c r="O22" s="112"/>
      <c r="P22" s="106"/>
      <c r="Q22" s="107"/>
      <c r="R22" s="31"/>
      <c r="U22" s="159"/>
      <c r="V22" s="31"/>
      <c r="W22" s="104" t="str">
        <f ca="1">IF(Database!H81="N",HLOOKUP(Language!$C$3,Language!$E$1:$Z501,47,FALSE),"")</f>
        <v/>
      </c>
    </row>
    <row r="23" spans="1:23" ht="18" customHeight="1">
      <c r="A23" s="60" t="str">
        <f>Database!B97</f>
        <v>Hardware Design Suffix</v>
      </c>
      <c r="B23" s="56"/>
      <c r="C23" s="59"/>
      <c r="D23" s="55"/>
      <c r="E23" s="55"/>
      <c r="F23" s="55"/>
      <c r="G23" s="108"/>
      <c r="H23" s="108"/>
      <c r="I23" s="108"/>
      <c r="J23" s="108"/>
      <c r="K23" s="108"/>
      <c r="L23" s="108"/>
      <c r="M23" s="108"/>
      <c r="N23" s="108"/>
      <c r="O23" s="108"/>
      <c r="P23" s="106"/>
      <c r="Q23" s="107"/>
      <c r="R23" s="31"/>
      <c r="U23" s="159"/>
      <c r="V23" s="31"/>
      <c r="W23" s="105"/>
    </row>
    <row r="24" spans="1:23" ht="21.75" customHeight="1">
      <c r="A24" s="38"/>
      <c r="B24" s="56"/>
      <c r="C24" s="59"/>
      <c r="D24" s="55"/>
      <c r="E24" s="55"/>
      <c r="F24" s="55"/>
      <c r="G24" s="35" t="str">
        <f ca="1">Database!F93</f>
        <v>06</v>
      </c>
      <c r="H24" s="110"/>
      <c r="I24" s="110"/>
      <c r="J24" s="110"/>
      <c r="K24" s="110"/>
      <c r="L24" s="110"/>
      <c r="M24" s="110"/>
      <c r="N24" s="110"/>
      <c r="O24" s="110"/>
      <c r="P24" s="109"/>
      <c r="Q24" s="107"/>
      <c r="R24" s="31"/>
      <c r="U24" s="159"/>
      <c r="V24" s="31"/>
      <c r="W24" s="104" t="str">
        <f ca="1">IF(Database!H93="N",HLOOKUP(Language!$C$3,Language!$E$1:$Z501,47,FALSE),"")</f>
        <v/>
      </c>
    </row>
    <row r="25" spans="1:23" ht="18" customHeight="1">
      <c r="A25" s="60" t="str">
        <f>Database!B97</f>
        <v>Hardware Design Suffix</v>
      </c>
      <c r="B25" s="56"/>
      <c r="C25" s="59"/>
      <c r="D25" s="55"/>
      <c r="E25" s="55"/>
      <c r="F25" s="55"/>
      <c r="G25" s="113"/>
      <c r="H25" s="113"/>
      <c r="I25" s="113"/>
      <c r="J25" s="113"/>
      <c r="K25" s="113"/>
      <c r="L25" s="113"/>
      <c r="M25" s="113"/>
      <c r="N25" s="113"/>
      <c r="O25" s="113"/>
      <c r="P25" s="113"/>
      <c r="Q25" s="107"/>
      <c r="R25" s="31"/>
      <c r="U25" s="159"/>
      <c r="V25" s="31"/>
      <c r="W25" s="104"/>
    </row>
    <row r="26" spans="1:23" ht="33" customHeight="1">
      <c r="A26" s="38"/>
      <c r="B26" s="56"/>
      <c r="C26" s="59"/>
      <c r="D26" s="55"/>
      <c r="E26" s="55"/>
      <c r="F26" s="55"/>
      <c r="G26" s="35" t="str">
        <f ca="1">Database!F97</f>
        <v>B</v>
      </c>
      <c r="H26" s="116"/>
      <c r="I26" s="116"/>
      <c r="J26" s="116"/>
      <c r="K26" s="116"/>
      <c r="L26" s="116"/>
      <c r="M26" s="116"/>
      <c r="N26" s="116"/>
      <c r="O26" s="116"/>
      <c r="P26" s="116"/>
      <c r="Q26" s="112"/>
      <c r="R26" s="31"/>
      <c r="U26" s="159"/>
      <c r="V26" s="31"/>
      <c r="W26" s="104" t="str">
        <f ca="1">IF(Database!H97="N",HLOOKUP(Language!$C$3,Language!$E$1:$Z503,47,FALSE),"")</f>
        <v/>
      </c>
    </row>
    <row r="27" spans="1:23" ht="17.25" customHeight="1" thickBot="1">
      <c r="A27" s="61"/>
      <c r="B27" s="62"/>
      <c r="C27" s="62"/>
      <c r="D27" s="62"/>
      <c r="E27" s="62"/>
      <c r="F27" s="62"/>
      <c r="G27" s="63"/>
      <c r="H27" s="63"/>
      <c r="I27" s="63"/>
      <c r="J27" s="63"/>
      <c r="K27" s="63"/>
      <c r="L27" s="63"/>
      <c r="M27" s="63"/>
      <c r="N27" s="63"/>
      <c r="O27" s="63"/>
      <c r="P27" s="63"/>
      <c r="Q27" s="63"/>
      <c r="R27" s="64"/>
      <c r="U27" s="160"/>
      <c r="V27" s="64"/>
      <c r="W27" s="105"/>
    </row>
    <row r="28" spans="1:23">
      <c r="U28" s="105"/>
      <c r="W28" s="105"/>
    </row>
    <row r="29" spans="1:23">
      <c r="U29" s="105"/>
      <c r="W29" s="105"/>
    </row>
    <row r="30" spans="1:23">
      <c r="U30" s="105"/>
      <c r="W30" s="105"/>
    </row>
    <row r="31" spans="1:23">
      <c r="U31" s="105"/>
      <c r="W31" s="105"/>
    </row>
    <row r="32" spans="1:23">
      <c r="U32" s="105"/>
      <c r="W32" s="105"/>
    </row>
    <row r="33" spans="21:23">
      <c r="U33" s="105"/>
      <c r="W33" s="105"/>
    </row>
    <row r="34" spans="21:23">
      <c r="U34" s="105"/>
      <c r="W34" s="105"/>
    </row>
    <row r="35" spans="21:23">
      <c r="U35" s="105"/>
      <c r="W35" s="105"/>
    </row>
    <row r="36" spans="21:23">
      <c r="W36" s="105"/>
    </row>
  </sheetData>
  <sheetProtection password="C927" sheet="1" objects="1" scenarios="1"/>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List Box 1">
              <controlPr defaultSize="0" autoLine="0" autoPict="0">
                <anchor moveWithCells="1">
                  <from>
                    <xdr:col>0</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4098" r:id="rId5" name="List Box 2">
              <controlPr defaultSize="0" autoLine="0" autoPict="0">
                <anchor moveWithCells="1">
                  <from>
                    <xdr:col>0</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4099" r:id="rId6" name="List Box 3">
              <controlPr defaultSize="0" autoLine="0" autoPict="0">
                <anchor moveWithCells="1">
                  <from>
                    <xdr:col>0</xdr:col>
                    <xdr:colOff>0</xdr:colOff>
                    <xdr:row>5</xdr:row>
                    <xdr:rowOff>0</xdr:rowOff>
                  </from>
                  <to>
                    <xdr:col>6</xdr:col>
                    <xdr:colOff>0</xdr:colOff>
                    <xdr:row>6</xdr:row>
                    <xdr:rowOff>0</xdr:rowOff>
                  </to>
                </anchor>
              </controlPr>
            </control>
          </mc:Choice>
        </mc:AlternateContent>
        <mc:AlternateContent xmlns:mc="http://schemas.openxmlformats.org/markup-compatibility/2006">
          <mc:Choice Requires="x14">
            <control shapeId="4100" r:id="rId7" name="List Box 4">
              <controlPr defaultSize="0" autoLine="0" autoPict="0">
                <anchor moveWithCells="1">
                  <from>
                    <xdr:col>0</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4101" r:id="rId8" name="List Box 5">
              <controlPr defaultSize="0" autoLine="0" autoPict="0">
                <anchor moveWithCells="1">
                  <from>
                    <xdr:col>0</xdr:col>
                    <xdr:colOff>9525</xdr:colOff>
                    <xdr:row>13</xdr:row>
                    <xdr:rowOff>0</xdr:rowOff>
                  </from>
                  <to>
                    <xdr:col>6</xdr:col>
                    <xdr:colOff>0</xdr:colOff>
                    <xdr:row>14</xdr:row>
                    <xdr:rowOff>9525</xdr:rowOff>
                  </to>
                </anchor>
              </controlPr>
            </control>
          </mc:Choice>
        </mc:AlternateContent>
        <mc:AlternateContent xmlns:mc="http://schemas.openxmlformats.org/markup-compatibility/2006">
          <mc:Choice Requires="x14">
            <control shapeId="4102" r:id="rId9" name="List Box 6">
              <controlPr defaultSize="0" autoLine="0" autoPict="0">
                <anchor moveWithCells="1">
                  <from>
                    <xdr:col>0</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4108" r:id="rId10" name="List Box 12">
              <controlPr defaultSize="0" autoLine="0" autoPict="0">
                <anchor moveWithCells="1">
                  <from>
                    <xdr:col>0</xdr:col>
                    <xdr:colOff>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4119" r:id="rId11" name="List Box 23">
              <controlPr defaultSize="0" autoLine="0" autoPict="0">
                <anchor moveWithCells="1">
                  <from>
                    <xdr:col>0</xdr:col>
                    <xdr:colOff>0</xdr:colOff>
                    <xdr:row>19</xdr:row>
                    <xdr:rowOff>0</xdr:rowOff>
                  </from>
                  <to>
                    <xdr:col>6</xdr:col>
                    <xdr:colOff>0</xdr:colOff>
                    <xdr:row>20</xdr:row>
                    <xdr:rowOff>0</xdr:rowOff>
                  </to>
                </anchor>
              </controlPr>
            </control>
          </mc:Choice>
        </mc:AlternateContent>
        <mc:AlternateContent xmlns:mc="http://schemas.openxmlformats.org/markup-compatibility/2006">
          <mc:Choice Requires="x14">
            <control shapeId="4120" r:id="rId12" name="List Box 24">
              <controlPr defaultSize="0" autoLine="0" autoPict="0">
                <anchor moveWithCells="1">
                  <from>
                    <xdr:col>0</xdr:col>
                    <xdr:colOff>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4123" r:id="rId13" name="List Box 27">
              <controlPr defaultSize="0" autoLine="0" autoPict="0">
                <anchor moveWithCells="1">
                  <from>
                    <xdr:col>0</xdr:col>
                    <xdr:colOff>0</xdr:colOff>
                    <xdr:row>21</xdr:row>
                    <xdr:rowOff>0</xdr:rowOff>
                  </from>
                  <to>
                    <xdr:col>6</xdr:col>
                    <xdr:colOff>0</xdr:colOff>
                    <xdr:row>22</xdr:row>
                    <xdr:rowOff>0</xdr:rowOff>
                  </to>
                </anchor>
              </controlPr>
            </control>
          </mc:Choice>
        </mc:AlternateContent>
        <mc:AlternateContent xmlns:mc="http://schemas.openxmlformats.org/markup-compatibility/2006">
          <mc:Choice Requires="x14">
            <control shapeId="4127" r:id="rId14" name="List Box 31">
              <controlPr defaultSize="0" autoLine="0" autoPict="0">
                <anchor moveWithCells="1">
                  <from>
                    <xdr:col>0</xdr:col>
                    <xdr:colOff>0</xdr:colOff>
                    <xdr:row>25</xdr:row>
                    <xdr:rowOff>0</xdr:rowOff>
                  </from>
                  <to>
                    <xdr:col>6</xdr:col>
                    <xdr:colOff>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4"/>
  <dimension ref="A1:D37"/>
  <sheetViews>
    <sheetView showGridLines="0" workbookViewId="0">
      <pane ySplit="2" topLeftCell="A18" activePane="bottomLeft" state="frozen"/>
      <selection pane="bottomLeft" activeCell="B37" sqref="B37"/>
    </sheetView>
  </sheetViews>
  <sheetFormatPr defaultRowHeight="14.25"/>
  <cols>
    <col min="1" max="1" width="9.140625" style="142"/>
    <col min="2" max="2" width="9.140625" style="146"/>
    <col min="3" max="3" width="150.85546875" style="142" customWidth="1"/>
    <col min="4" max="4" width="15.140625" style="146" customWidth="1"/>
    <col min="5" max="16384" width="9.140625" style="24"/>
  </cols>
  <sheetData>
    <row r="1" spans="1:4" s="248" customFormat="1" ht="21" thickBot="1">
      <c r="A1" s="275" t="str">
        <f>HLOOKUP(Language!$C$3,Language!$E$1:$Z533,78,FALSE)</f>
        <v>THIS CORTEC FILE HAS BEEN REPLACED BY THE S20 CORTEC FILE</v>
      </c>
      <c r="B1" s="146"/>
      <c r="C1" s="142"/>
      <c r="D1" s="146"/>
    </row>
    <row r="2" spans="1:4" ht="15.75">
      <c r="A2" s="133" t="str">
        <f ca="1">Database!E4</f>
        <v>S2024G11PMAXXXH06B</v>
      </c>
      <c r="B2" s="143"/>
      <c r="C2" s="134"/>
      <c r="D2" s="147"/>
    </row>
    <row r="3" spans="1:4" ht="15">
      <c r="A3" s="135" t="str">
        <f ca="1">Database!E2</f>
        <v>S2024G Modular Managed Ethernet Switch</v>
      </c>
      <c r="B3" s="144"/>
      <c r="C3" s="136"/>
      <c r="D3" s="148"/>
    </row>
    <row r="4" spans="1:4" ht="15">
      <c r="A4" s="135" t="str">
        <f>Database!B5</f>
        <v>Power Supply 1</v>
      </c>
      <c r="B4" s="144"/>
      <c r="C4" s="136"/>
      <c r="D4" s="148"/>
    </row>
    <row r="5" spans="1:4">
      <c r="A5" s="137" t="str">
        <f ca="1">Database!E5</f>
        <v>24-48 Vdc</v>
      </c>
      <c r="B5" s="144"/>
      <c r="C5" s="136"/>
      <c r="D5" s="148"/>
    </row>
    <row r="6" spans="1:4" ht="15">
      <c r="A6" s="135" t="str">
        <f>Database!B9</f>
        <v>Power Supply 2</v>
      </c>
      <c r="B6" s="144"/>
      <c r="C6" s="136"/>
      <c r="D6" s="148"/>
    </row>
    <row r="7" spans="1:4">
      <c r="A7" s="137" t="str">
        <f ca="1">Database!E9</f>
        <v>24-48 Vdc</v>
      </c>
      <c r="B7" s="144"/>
      <c r="C7" s="136"/>
      <c r="D7" s="148"/>
    </row>
    <row r="8" spans="1:4" ht="15">
      <c r="A8" s="135" t="str">
        <f>Database!B14</f>
        <v>Mounting Options</v>
      </c>
      <c r="B8" s="144"/>
      <c r="C8" s="136"/>
      <c r="D8" s="148"/>
    </row>
    <row r="9" spans="1:4">
      <c r="A9" s="137" t="str">
        <f ca="1">Database!E14</f>
        <v>19” Rack Mount / Rear Mount</v>
      </c>
      <c r="B9" s="144"/>
      <c r="C9" s="136"/>
      <c r="D9" s="148"/>
    </row>
    <row r="10" spans="1:4" ht="15">
      <c r="A10" s="135" t="str">
        <f>Database!B18</f>
        <v>Interface Module 1</v>
      </c>
      <c r="B10" s="144"/>
      <c r="C10" s="136"/>
      <c r="D10" s="148"/>
    </row>
    <row r="11" spans="1:4">
      <c r="A11" s="137" t="str">
        <f ca="1">Database!E18</f>
        <v>Two 1 Gbps LC-type connector multi mode fiber 1000BASE-SX Ethernet for up to 0.5 km + Two 100 Mbps LC-type connector multi mode fiber 100BASE-FX Ethernet for up to 2 km</v>
      </c>
      <c r="B11" s="144"/>
      <c r="C11" s="136"/>
      <c r="D11" s="148"/>
    </row>
    <row r="12" spans="1:4" ht="15">
      <c r="A12" s="135" t="str">
        <f>Database!B33</f>
        <v>Interface Module 2</v>
      </c>
      <c r="B12" s="144"/>
      <c r="C12" s="136"/>
      <c r="D12" s="148"/>
    </row>
    <row r="13" spans="1:4" s="230" customFormat="1">
      <c r="A13" s="137" t="str">
        <f ca="1">Database!E33</f>
        <v>Four 1 Gbps RJ45 copper 10/100BASE-TX/1000BASE-T Ethernet ports</v>
      </c>
      <c r="B13" s="144"/>
      <c r="C13" s="136"/>
      <c r="D13" s="148"/>
    </row>
    <row r="14" spans="1:4" ht="15">
      <c r="A14" s="135" t="str">
        <f>Database!B45</f>
        <v>Interface Module 3</v>
      </c>
      <c r="B14" s="144"/>
      <c r="C14" s="136"/>
      <c r="D14" s="148"/>
    </row>
    <row r="15" spans="1:4">
      <c r="A15" s="137" t="str">
        <f ca="1">Database!E45</f>
        <v>Not installed</v>
      </c>
      <c r="B15" s="144"/>
      <c r="C15" s="136"/>
      <c r="D15" s="148"/>
    </row>
    <row r="16" spans="1:4" ht="15">
      <c r="A16" s="135" t="str">
        <f>Database!B57</f>
        <v>Interface Module 4</v>
      </c>
      <c r="B16" s="144"/>
      <c r="C16" s="136"/>
      <c r="D16" s="148"/>
    </row>
    <row r="17" spans="1:4" s="230" customFormat="1">
      <c r="A17" s="137" t="str">
        <f ca="1">Database!E57</f>
        <v>Not installed</v>
      </c>
      <c r="B17" s="144"/>
      <c r="C17" s="136"/>
      <c r="D17" s="148"/>
    </row>
    <row r="18" spans="1:4" ht="15">
      <c r="A18" s="135" t="str">
        <f>Database!B69</f>
        <v>Interface Module 5</v>
      </c>
      <c r="B18" s="144"/>
      <c r="C18" s="136"/>
      <c r="D18" s="148"/>
    </row>
    <row r="19" spans="1:4" s="230" customFormat="1">
      <c r="A19" s="137" t="str">
        <f ca="1">Database!E69</f>
        <v>Not installed</v>
      </c>
      <c r="B19" s="144"/>
      <c r="C19" s="136"/>
      <c r="D19" s="148"/>
    </row>
    <row r="20" spans="1:4" ht="15">
      <c r="A20" s="135" t="str">
        <f>Database!B81</f>
        <v>Interface Module 6</v>
      </c>
      <c r="B20" s="144"/>
      <c r="C20" s="136"/>
      <c r="D20" s="148"/>
    </row>
    <row r="21" spans="1:4" s="230" customFormat="1">
      <c r="A21" s="137" t="str">
        <f ca="1">Database!E81</f>
        <v>Four 100 Mbps LC-type connector multi mode fiber 100BASE-FX Ethernet for up to 2 km</v>
      </c>
      <c r="B21" s="144"/>
      <c r="C21" s="136"/>
      <c r="D21" s="148"/>
    </row>
    <row r="22" spans="1:4" s="230" customFormat="1" ht="15">
      <c r="A22" s="135" t="str">
        <f>Database!B93</f>
        <v>Firmware Version</v>
      </c>
      <c r="B22" s="144"/>
      <c r="C22" s="136"/>
      <c r="D22" s="148"/>
    </row>
    <row r="23" spans="1:4" s="230" customFormat="1">
      <c r="A23" s="137" t="str">
        <f ca="1">Database!E93</f>
        <v>Latest available firmware - 06</v>
      </c>
      <c r="B23" s="144"/>
      <c r="C23" s="136"/>
      <c r="D23" s="148"/>
    </row>
    <row r="24" spans="1:4" ht="15">
      <c r="A24" s="135" t="str">
        <f>Database!B97</f>
        <v>Hardware Design Suffix</v>
      </c>
      <c r="B24" s="144"/>
      <c r="C24" s="136"/>
      <c r="D24" s="148"/>
    </row>
    <row r="25" spans="1:4" ht="15" thickBot="1">
      <c r="A25" s="233" t="str">
        <f ca="1">Database!E97</f>
        <v>Standard hardware release</v>
      </c>
      <c r="B25" s="145"/>
      <c r="C25" s="139"/>
      <c r="D25" s="149"/>
    </row>
    <row r="26" spans="1:4">
      <c r="A26" s="140"/>
      <c r="B26" s="143"/>
      <c r="C26" s="134"/>
      <c r="D26" s="147"/>
    </row>
    <row r="27" spans="1:4">
      <c r="A27" s="141" t="str">
        <f>HLOOKUP(Language!$C$3,Language!$E$1:$Z528,30,FALSE)</f>
        <v>Issue</v>
      </c>
      <c r="B27" s="144"/>
      <c r="C27" s="136"/>
      <c r="D27" s="148"/>
    </row>
    <row r="28" spans="1:4">
      <c r="A28" s="141"/>
      <c r="B28" s="150" t="s">
        <v>26</v>
      </c>
      <c r="C28" s="151" t="str">
        <f>HLOOKUP(Language!$C$3,Language!$E$1:$Z527,31,FALSE)</f>
        <v>Original created</v>
      </c>
      <c r="D28" s="152">
        <v>42060</v>
      </c>
    </row>
    <row r="29" spans="1:4">
      <c r="A29" s="141"/>
      <c r="B29" s="150" t="s">
        <v>27</v>
      </c>
      <c r="C29" s="151" t="str">
        <f>HLOOKUP(Language!$C$3,Language!$E$1:$Z528,53,FALSE)</f>
        <v>Module J, K, L, M Options included and update firmware version to 04</v>
      </c>
      <c r="D29" s="152">
        <f>'Date Drivers'!C2</f>
        <v>42356</v>
      </c>
    </row>
    <row r="30" spans="1:4">
      <c r="A30" s="141"/>
      <c r="B30" s="150" t="s">
        <v>29</v>
      </c>
      <c r="C30" s="151" t="str">
        <f>HLOOKUP(Language!$C$3,Language!$E$1:$Z529,54,FALSE)</f>
        <v>Amended hardware design suffix to B</v>
      </c>
      <c r="D30" s="152">
        <f>'Date Drivers'!K2</f>
        <v>42445</v>
      </c>
    </row>
    <row r="31" spans="1:4">
      <c r="A31" s="141"/>
      <c r="B31" s="150" t="s">
        <v>30</v>
      </c>
      <c r="C31" s="151" t="str">
        <f>HLOOKUP(Language!$C$3,Language!$E$1:$Z530,56,FALSE)</f>
        <v>New firmware and GE branding</v>
      </c>
      <c r="D31" s="152">
        <f>'Date Drivers'!O2</f>
        <v>42494</v>
      </c>
    </row>
    <row r="32" spans="1:4">
      <c r="A32" s="141"/>
      <c r="B32" s="150" t="s">
        <v>41</v>
      </c>
      <c r="C32" s="151" t="str">
        <f>HLOOKUP(Language!$C$3,Language!$E$1:$Z531,57,FALSE)</f>
        <v>Removed firmware version 04, included the Accessories tab</v>
      </c>
      <c r="D32" s="152">
        <f>'Date Drivers'!S2</f>
        <v>42556</v>
      </c>
    </row>
    <row r="33" spans="1:4" s="248" customFormat="1">
      <c r="A33" s="250"/>
      <c r="B33" s="272" t="s">
        <v>42</v>
      </c>
      <c r="C33" s="273" t="str">
        <f>HLOOKUP(Language!$C$3,Language!$E$1:$Z531,68,FALSE)</f>
        <v>Added firmware version 06 and included the 1 Gbps SFP for 120km as accessory</v>
      </c>
      <c r="D33" s="274">
        <f>'Date Drivers'!W2</f>
        <v>42656</v>
      </c>
    </row>
    <row r="34" spans="1:4" s="248" customFormat="1">
      <c r="A34" s="250"/>
      <c r="B34" s="272" t="s">
        <v>190</v>
      </c>
      <c r="C34" s="273" t="str">
        <f>HLOOKUP(Language!$C$3,Language!$E$1:$Z532,73,FALSE)</f>
        <v>Multiple withdraws: Interface Module options J, K &amp; L (refer to GER-4844) and alternate hardware (BL) / Transceiver SFP1GCU01K replaced by SFP1GCU02K</v>
      </c>
      <c r="D34" s="274">
        <f>'Date Drivers'!AA2</f>
        <v>43348</v>
      </c>
    </row>
    <row r="35" spans="1:4" s="248" customFormat="1">
      <c r="A35" s="250"/>
      <c r="B35" s="289" t="s">
        <v>202</v>
      </c>
      <c r="C35" s="273" t="str">
        <f>HLOOKUP(Language!$C$3,Language!$E$1:$Z533,76,FALSE)</f>
        <v>Firmware 05 and 06 have been withdrawn as per GE Publication No. GER-4820 and GER-4844.</v>
      </c>
      <c r="D35" s="274">
        <v>43678</v>
      </c>
    </row>
    <row r="36" spans="1:4" s="248" customFormat="1">
      <c r="A36" s="250"/>
      <c r="B36" s="290"/>
      <c r="C36" s="273" t="str">
        <f>HLOOKUP(Language!$C$3,Language!$E$1:$Z534,77,FALSE)</f>
        <v>This Cortec file has be superseded by the S20 Cortec File; please reference the S20 Cortec file for your current ordering needs.</v>
      </c>
      <c r="D36" s="274">
        <f>D35</f>
        <v>43678</v>
      </c>
    </row>
    <row r="37" spans="1:4" ht="15" thickBot="1">
      <c r="A37" s="138"/>
      <c r="B37" s="153"/>
      <c r="C37" s="154"/>
      <c r="D37" s="155"/>
    </row>
  </sheetData>
  <sheetProtection password="C927" sheet="1" objects="1" scenarios="1"/>
  <mergeCells count="1">
    <mergeCell ref="B35:B36"/>
  </mergeCells>
  <pageMargins left="0.511811024" right="0.511811024" top="0.78740157499999996" bottom="0.78740157499999996" header="0.31496062000000002" footer="0.31496062000000002"/>
  <pageSetup paperSize="9" orientation="portrait" r:id="rId1"/>
  <ignoredErrors>
    <ignoredError sqref="A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0"/>
  <sheetViews>
    <sheetView showGridLines="0" showRowColHeaders="0" workbookViewId="0"/>
  </sheetViews>
  <sheetFormatPr defaultRowHeight="14.25"/>
  <cols>
    <col min="1" max="1" width="22.28515625" style="238" customWidth="1"/>
    <col min="2" max="4" width="21.5703125" style="238" customWidth="1"/>
    <col min="5" max="5" width="31.42578125" style="238" customWidth="1"/>
    <col min="6" max="16384" width="9.140625" style="238"/>
  </cols>
  <sheetData>
    <row r="1" spans="1:5" ht="20.25">
      <c r="A1" s="275" t="str">
        <f>HLOOKUP(Language!$C$3,Language!$E$1:$Z533,78,FALSE)</f>
        <v>THIS CORTEC FILE HAS BEEN REPLACED BY THE S20 CORTEC FILE</v>
      </c>
    </row>
    <row r="2" spans="1:5" s="237" customFormat="1" ht="20.25" customHeight="1">
      <c r="A2" s="294" t="str">
        <f>HLOOKUP(Language!$C$3,Language!$E$1:$Z529,58,FALSE)</f>
        <v>Accessories</v>
      </c>
      <c r="B2" s="295"/>
      <c r="C2" s="295"/>
      <c r="D2" s="295"/>
      <c r="E2" s="296"/>
    </row>
    <row r="3" spans="1:5" ht="16.5" customHeight="1">
      <c r="A3" s="241" t="str">
        <f>HLOOKUP(Language!$C$3,Language!$E$1:$Z529,59,FALSE)</f>
        <v>Code</v>
      </c>
      <c r="B3" s="297" t="str">
        <f>HLOOKUP(Language!$C$3,Language!$E$1:$Z529,60,FALSE)</f>
        <v>Description</v>
      </c>
      <c r="C3" s="297"/>
      <c r="D3" s="297"/>
      <c r="E3" s="297"/>
    </row>
    <row r="4" spans="1:5" ht="7.5" customHeight="1">
      <c r="A4" s="242"/>
      <c r="B4" s="242"/>
      <c r="C4" s="242"/>
      <c r="D4" s="242"/>
      <c r="E4" s="242"/>
    </row>
    <row r="5" spans="1:5" ht="24" customHeight="1">
      <c r="A5" s="265" t="s">
        <v>191</v>
      </c>
      <c r="B5" s="291" t="str">
        <f>HLOOKUP(Language!$C$3,Language!$E$1:$Z529,61,FALSE)</f>
        <v>SFP Transceiver 10/100/1000Mbps, RJ45 connector</v>
      </c>
      <c r="C5" s="292"/>
      <c r="D5" s="292"/>
      <c r="E5" s="293"/>
    </row>
    <row r="6" spans="1:5" s="239" customFormat="1" ht="24.75" customHeight="1">
      <c r="A6" s="265" t="s">
        <v>146</v>
      </c>
      <c r="B6" s="291" t="str">
        <f>HLOOKUP(Language!$C$3,Language!$E$1:$Z529,62,FALSE)</f>
        <v>SFP Transceiver 1000Mbps LC single mode, 1310nm wavelength, 10km</v>
      </c>
      <c r="C6" s="292"/>
      <c r="D6" s="292"/>
      <c r="E6" s="293"/>
    </row>
    <row r="7" spans="1:5" s="239" customFormat="1" ht="24.75" customHeight="1">
      <c r="A7" s="265" t="s">
        <v>147</v>
      </c>
      <c r="B7" s="291" t="str">
        <f>HLOOKUP(Language!$C$3,Language!$E$1:$Z529,63,FALSE)</f>
        <v>SFP Transceiver 1000Mbps LC single mode, 1310nm wavelength, 40km</v>
      </c>
      <c r="C7" s="292"/>
      <c r="D7" s="292"/>
      <c r="E7" s="293"/>
    </row>
    <row r="8" spans="1:5" s="239" customFormat="1" ht="24.75" customHeight="1">
      <c r="A8" s="265" t="s">
        <v>148</v>
      </c>
      <c r="B8" s="291" t="str">
        <f>HLOOKUP(Language!$C$3,Language!$E$1:$Z529,64,FALSE)</f>
        <v>SFP Transceiver 1000Mbps LC single mode, 1550nm wavelength, 80km</v>
      </c>
      <c r="C8" s="292"/>
      <c r="D8" s="292"/>
      <c r="E8" s="293"/>
    </row>
    <row r="9" spans="1:5" s="239" customFormat="1" ht="24.75" customHeight="1">
      <c r="A9" s="265" t="s">
        <v>179</v>
      </c>
      <c r="B9" s="291" t="str">
        <f>HLOOKUP(Language!$C$3,Language!$E$1:$Z530,67,FALSE)</f>
        <v>SFP Transceiver 1000Mbps LC single mode, 1550nm wavelength, 120km </v>
      </c>
      <c r="C9" s="292"/>
      <c r="D9" s="292"/>
      <c r="E9" s="293"/>
    </row>
    <row r="10" spans="1:5" s="239" customFormat="1" ht="24.75" customHeight="1">
      <c r="A10" s="265" t="s">
        <v>149</v>
      </c>
      <c r="B10" s="291" t="str">
        <f>HLOOKUP(Language!$C$3,Language!$E$1:$Z529,65,FALSE)</f>
        <v>SFP Transceiver 1000Mbps LC multi mode, 850nm wavelength, 500m</v>
      </c>
      <c r="C10" s="292"/>
      <c r="D10" s="292"/>
      <c r="E10" s="293"/>
    </row>
    <row r="11" spans="1:5" s="239" customFormat="1" ht="24.75" customHeight="1">
      <c r="A11" s="265" t="s">
        <v>150</v>
      </c>
      <c r="B11" s="291" t="str">
        <f>HLOOKUP(Language!$C$3,Language!$E$1:$Z529,66,FALSE)</f>
        <v>SFP Transceiver 100Mbps LC multi mode, 1310nm wavelength, 2km</v>
      </c>
      <c r="C11" s="292"/>
      <c r="D11" s="292"/>
      <c r="E11" s="293"/>
    </row>
    <row r="12" spans="1:5" ht="24" customHeight="1">
      <c r="A12" s="265" t="s">
        <v>144</v>
      </c>
      <c r="B12" s="291" t="str">
        <f>HLOOKUP(Language!$C$3,Language!$E$1:$Z536,75,FALSE)</f>
        <v>SFP Transceiver 10/100/1000Mbps, RJ45 connector, not CE Market (Withdraw)</v>
      </c>
      <c r="C12" s="292"/>
      <c r="D12" s="292"/>
      <c r="E12" s="293"/>
    </row>
    <row r="13" spans="1:5">
      <c r="B13" s="240"/>
      <c r="C13" s="240"/>
      <c r="D13" s="240"/>
      <c r="E13" s="240"/>
    </row>
    <row r="14" spans="1:5">
      <c r="B14" s="240"/>
      <c r="C14" s="240"/>
      <c r="D14" s="240"/>
      <c r="E14" s="240"/>
    </row>
    <row r="15" spans="1:5">
      <c r="B15" s="240"/>
      <c r="C15" s="240"/>
      <c r="D15" s="240"/>
      <c r="E15" s="240"/>
    </row>
    <row r="16" spans="1:5">
      <c r="B16" s="240"/>
      <c r="C16" s="240"/>
      <c r="D16" s="240"/>
      <c r="E16" s="240"/>
    </row>
    <row r="17" spans="2:5">
      <c r="B17" s="240"/>
      <c r="C17" s="240"/>
      <c r="D17" s="240"/>
      <c r="E17" s="240"/>
    </row>
    <row r="18" spans="2:5">
      <c r="B18" s="240"/>
      <c r="C18" s="240"/>
      <c r="D18" s="240"/>
      <c r="E18" s="240"/>
    </row>
    <row r="19" spans="2:5">
      <c r="B19" s="240"/>
      <c r="C19" s="240"/>
      <c r="D19" s="240"/>
      <c r="E19" s="240"/>
    </row>
    <row r="20" spans="2:5">
      <c r="B20" s="240"/>
      <c r="C20" s="240"/>
      <c r="D20" s="240"/>
      <c r="E20" s="240"/>
    </row>
  </sheetData>
  <sheetProtection password="C927" sheet="1" objects="1" scenarios="1"/>
  <mergeCells count="10">
    <mergeCell ref="B5:E5"/>
    <mergeCell ref="B10:E10"/>
    <mergeCell ref="B11:E11"/>
    <mergeCell ref="B12:E12"/>
    <mergeCell ref="A2:E2"/>
    <mergeCell ref="B3:E3"/>
    <mergeCell ref="B6:E6"/>
    <mergeCell ref="B7:E7"/>
    <mergeCell ref="B8:E8"/>
    <mergeCell ref="B9: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dimension ref="A1:K100"/>
  <sheetViews>
    <sheetView topLeftCell="A53" zoomScaleNormal="100" workbookViewId="0">
      <selection activeCell="E105" sqref="E105"/>
    </sheetView>
  </sheetViews>
  <sheetFormatPr defaultRowHeight="12"/>
  <cols>
    <col min="1" max="1" width="5.28515625" style="1" customWidth="1"/>
    <col min="2" max="2" width="30.7109375" style="196" customWidth="1"/>
    <col min="3" max="4" width="3.85546875" style="1" customWidth="1"/>
    <col min="5" max="5" width="85.140625" style="14" customWidth="1"/>
    <col min="6" max="6" width="5.85546875" style="1" customWidth="1"/>
    <col min="7" max="8" width="10.7109375" style="229" customWidth="1"/>
    <col min="9" max="9" width="9.140625" style="196"/>
    <col min="10" max="10" width="29.28515625" style="196" customWidth="1"/>
    <col min="11" max="11" width="19.28515625" style="196" customWidth="1"/>
    <col min="12" max="16384" width="9.140625" style="196"/>
  </cols>
  <sheetData>
    <row r="1" spans="1:11">
      <c r="B1" s="183" t="s">
        <v>32</v>
      </c>
      <c r="C1" s="193"/>
      <c r="D1" s="193"/>
      <c r="E1" s="194">
        <v>43348</v>
      </c>
      <c r="G1" s="195" t="s">
        <v>44</v>
      </c>
      <c r="H1" s="195" t="s">
        <v>39</v>
      </c>
      <c r="J1" s="197" t="s">
        <v>33</v>
      </c>
      <c r="K1" s="198" t="str">
        <f>ADDRESS(1,MATCH(E1,'Date Drivers'!A2:ZZ2,0),1,1,"Date Drivers")</f>
        <v>'Date Drivers'!$AA$1</v>
      </c>
    </row>
    <row r="2" spans="1:11">
      <c r="B2" s="183" t="str">
        <f>INDEX('Date Drivers'!$A$1:$B$368,4,2)</f>
        <v>Model Type</v>
      </c>
      <c r="C2" s="193"/>
      <c r="D2" s="193"/>
      <c r="E2" s="199" t="str">
        <f ca="1">INDEX(INDIRECT($K$1&amp;":"&amp;$K$2),4,1)</f>
        <v>S2024G Modular Managed Ethernet Switch</v>
      </c>
      <c r="G2" s="195">
        <f ca="1">INDEX(INDIRECT($K$1&amp;":"&amp;$K$2),5,3)</f>
        <v>0</v>
      </c>
      <c r="H2" s="195" t="str">
        <f ca="1">INDEX(INDIRECT($K$1&amp;":"&amp;$K$2),5,4)</f>
        <v>Y</v>
      </c>
      <c r="J2" s="197" t="s">
        <v>34</v>
      </c>
      <c r="K2" s="198" t="str">
        <f>ADDRESS(500,MATCH(E1,'Date Drivers'!A2:ZZ2,0)+4,1,1)</f>
        <v>$AE$500</v>
      </c>
    </row>
    <row r="3" spans="1:11">
      <c r="B3" s="183" t="s">
        <v>101</v>
      </c>
      <c r="C3" s="193"/>
      <c r="D3" s="193"/>
      <c r="E3" s="199" t="str">
        <f>'Date Drivers'!C5</f>
        <v>S2024G</v>
      </c>
      <c r="G3" s="195"/>
      <c r="H3" s="195"/>
      <c r="J3" s="200"/>
      <c r="K3" s="201"/>
    </row>
    <row r="4" spans="1:11">
      <c r="B4" s="184" t="s">
        <v>104</v>
      </c>
      <c r="C4" s="202"/>
      <c r="D4" s="202"/>
      <c r="E4" s="199" t="str">
        <f ca="1">CONCATENATE(E3,F5,F9,F14,F18,F33,F45,F57,F69,F81,F93,F97)</f>
        <v>S2024G11PMAXXXH06B</v>
      </c>
      <c r="G4" s="195"/>
      <c r="H4" s="195"/>
      <c r="J4" s="203"/>
    </row>
    <row r="5" spans="1:11">
      <c r="A5" s="204">
        <v>1</v>
      </c>
      <c r="B5" s="205" t="str">
        <f>INDEX('Date Drivers'!$A$1:$B$368,Database!C6,2)</f>
        <v>Power Supply 1</v>
      </c>
      <c r="C5" s="206"/>
      <c r="D5" s="207">
        <v>1</v>
      </c>
      <c r="E5" s="208" t="str">
        <f ca="1">VLOOKUP(D5,D6:F7,2,FALSE)</f>
        <v>24-48 Vdc</v>
      </c>
      <c r="F5" s="207">
        <f ca="1">VLOOKUP(D5,D6:F7,3,FALSE)</f>
        <v>1</v>
      </c>
      <c r="G5" s="207">
        <f ca="1">VLOOKUP(D5,D6:H7,4,FALSE)</f>
        <v>0</v>
      </c>
      <c r="H5" s="207" t="str">
        <f ca="1">VLOOKUP(D5,D6:H7,5,FALSE)</f>
        <v>Y</v>
      </c>
      <c r="J5" s="203"/>
    </row>
    <row r="6" spans="1:11">
      <c r="A6" s="203"/>
      <c r="B6" s="203"/>
      <c r="C6" s="9">
        <f>MATCH(A5,'Date Drivers'!$A$1:$A$368,0)</f>
        <v>6</v>
      </c>
      <c r="D6" s="9">
        <v>1</v>
      </c>
      <c r="E6" s="209" t="str">
        <f ca="1">INDEX(INDIRECT($K$1&amp;":"&amp;$K$2),C6,1)</f>
        <v>24-48 Vdc</v>
      </c>
      <c r="F6" s="9">
        <f ca="1">INDEX(INDIRECT($K$1&amp;":"&amp;$K$2),C6,2)</f>
        <v>1</v>
      </c>
      <c r="G6" s="210">
        <f ca="1">INDEX(INDIRECT($K$1&amp;":"&amp;$K$2),C6,3)</f>
        <v>0</v>
      </c>
      <c r="H6" s="211" t="str">
        <f ca="1">INDEX(INDIRECT($K$1&amp;":"&amp;$K$2),C6,4)</f>
        <v>Y</v>
      </c>
      <c r="J6" s="203"/>
    </row>
    <row r="7" spans="1:11">
      <c r="A7" s="203"/>
      <c r="B7" s="203"/>
      <c r="C7" s="9">
        <f>C6+1</f>
        <v>7</v>
      </c>
      <c r="D7" s="9">
        <v>2</v>
      </c>
      <c r="E7" s="209" t="str">
        <f ca="1">INDEX(INDIRECT($K$1&amp;":"&amp;$K$2),C7,1)</f>
        <v>100-250 Vdc / 110-240 Vac</v>
      </c>
      <c r="F7" s="9">
        <f ca="1">INDEX(INDIRECT($K$1&amp;":"&amp;$K$2),C7,2)</f>
        <v>3</v>
      </c>
      <c r="G7" s="212">
        <f ca="1">INDEX(INDIRECT($K$1&amp;":"&amp;$K$2),C7,3)</f>
        <v>0</v>
      </c>
      <c r="H7" s="213" t="str">
        <f ca="1">INDEX(INDIRECT($K$1&amp;":"&amp;$K$2),C7,4)</f>
        <v>Y</v>
      </c>
      <c r="J7" s="203"/>
    </row>
    <row r="8" spans="1:11">
      <c r="A8" s="183"/>
      <c r="B8" s="183"/>
      <c r="C8" s="214"/>
      <c r="D8" s="214"/>
      <c r="E8" s="209"/>
      <c r="F8" s="9"/>
      <c r="G8" s="215"/>
      <c r="H8" s="216"/>
      <c r="J8" s="203"/>
    </row>
    <row r="9" spans="1:11">
      <c r="A9" s="204">
        <v>2</v>
      </c>
      <c r="B9" s="205" t="str">
        <f>INDEX('Date Drivers'!$A$1:$B$368,Database!C10,2)</f>
        <v>Power Supply 2</v>
      </c>
      <c r="C9" s="206"/>
      <c r="D9" s="207">
        <v>1</v>
      </c>
      <c r="E9" s="208" t="str">
        <f ca="1">VLOOKUP(D9,D10:F12,2,FALSE)</f>
        <v>24-48 Vdc</v>
      </c>
      <c r="F9" s="207">
        <f ca="1">VLOOKUP(D9,D10:F12,3,FALSE)</f>
        <v>1</v>
      </c>
      <c r="G9" s="207">
        <f ca="1">VLOOKUP(D9,D10:H12,4,FALSE)</f>
        <v>0</v>
      </c>
      <c r="H9" s="207" t="str">
        <f ca="1">VLOOKUP(D9,D10:H12,5,FALSE)</f>
        <v>Y</v>
      </c>
    </row>
    <row r="10" spans="1:11">
      <c r="A10" s="203"/>
      <c r="B10" s="203"/>
      <c r="C10" s="9">
        <f>MATCH(A9,'Date Drivers'!$A$1:$A$368,0)</f>
        <v>9</v>
      </c>
      <c r="D10" s="9">
        <v>1</v>
      </c>
      <c r="E10" s="209" t="str">
        <f ca="1">INDEX(INDIRECT($K$1&amp;":"&amp;$K$2),C10,1)</f>
        <v>24-48 Vdc</v>
      </c>
      <c r="F10" s="9">
        <f ca="1">INDEX(INDIRECT($K$1&amp;":"&amp;$K$2),C10,2)</f>
        <v>1</v>
      </c>
      <c r="G10" s="210">
        <f ca="1">INDEX(INDIRECT($K$1&amp;":"&amp;$K$2),C10,3)</f>
        <v>0</v>
      </c>
      <c r="H10" s="211" t="str">
        <f ca="1">INDEX(INDIRECT($K$1&amp;":"&amp;$K$2),C10,4)</f>
        <v>Y</v>
      </c>
    </row>
    <row r="11" spans="1:11">
      <c r="A11" s="203"/>
      <c r="B11" s="203"/>
      <c r="C11" s="9">
        <f>C10+1</f>
        <v>10</v>
      </c>
      <c r="D11" s="9">
        <f>D10+1</f>
        <v>2</v>
      </c>
      <c r="E11" s="209" t="str">
        <f ca="1">INDEX(INDIRECT($K$1&amp;":"&amp;$K$2),C11,1)</f>
        <v>100-250 Vdc / 110-240 Vac</v>
      </c>
      <c r="F11" s="9">
        <f ca="1">INDEX(INDIRECT($K$1&amp;":"&amp;$K$2),C11,2)</f>
        <v>3</v>
      </c>
      <c r="G11" s="212">
        <f ca="1">INDEX(INDIRECT($K$1&amp;":"&amp;$K$2),C11,3)</f>
        <v>0</v>
      </c>
      <c r="H11" s="213" t="str">
        <f ca="1">INDEX(INDIRECT($K$1&amp;":"&amp;$K$2),C11,4)</f>
        <v>Y</v>
      </c>
    </row>
    <row r="12" spans="1:11">
      <c r="A12" s="203"/>
      <c r="B12" s="203"/>
      <c r="C12" s="9">
        <f>C11+1</f>
        <v>11</v>
      </c>
      <c r="D12" s="9">
        <f>D11+1</f>
        <v>3</v>
      </c>
      <c r="E12" s="209" t="str">
        <f ca="1">INDEX(INDIRECT($K$1&amp;":"&amp;$K$2),C12,1)</f>
        <v>Not installed</v>
      </c>
      <c r="F12" s="9" t="str">
        <f ca="1">INDEX(INDIRECT($K$1&amp;":"&amp;$K$2),C12,2)</f>
        <v>X</v>
      </c>
      <c r="G12" s="212">
        <f ca="1">INDEX(INDIRECT($K$1&amp;":"&amp;$K$2),C12,3)</f>
        <v>0</v>
      </c>
      <c r="H12" s="213" t="str">
        <f ca="1">INDEX(INDIRECT($K$1&amp;":"&amp;$K$2),C12,4)</f>
        <v>Y</v>
      </c>
    </row>
    <row r="13" spans="1:11">
      <c r="B13" s="203"/>
      <c r="C13" s="9"/>
      <c r="D13" s="9"/>
      <c r="E13" s="209"/>
      <c r="F13" s="9"/>
      <c r="G13" s="215"/>
      <c r="H13" s="216"/>
    </row>
    <row r="14" spans="1:11">
      <c r="A14" s="204">
        <v>3</v>
      </c>
      <c r="B14" s="217" t="str">
        <f>INDEX('Date Drivers'!$A$1:$B$368,Database!C15,2)</f>
        <v>Mounting Options</v>
      </c>
      <c r="C14" s="206"/>
      <c r="D14" s="207">
        <v>1</v>
      </c>
      <c r="E14" s="208" t="str">
        <f ca="1">VLOOKUP(D14,D15:F16,2,FALSE)</f>
        <v>19” Rack Mount / Rear Mount</v>
      </c>
      <c r="F14" s="207" t="str">
        <f ca="1">VLOOKUP(D14,D15:F16,3,FALSE)</f>
        <v>P</v>
      </c>
      <c r="G14" s="207">
        <f ca="1">VLOOKUP(D14,D15:H16,4,FALSE)</f>
        <v>0</v>
      </c>
      <c r="H14" s="207" t="str">
        <f ca="1">VLOOKUP(D14,D15:H16,5,FALSE)</f>
        <v>Y</v>
      </c>
    </row>
    <row r="15" spans="1:11">
      <c r="A15" s="203"/>
      <c r="B15" s="203"/>
      <c r="C15" s="9">
        <f>MATCH(A14,'Date Drivers'!$A$1:$A$368,0)</f>
        <v>13</v>
      </c>
      <c r="D15" s="9">
        <v>1</v>
      </c>
      <c r="E15" s="209" t="str">
        <f ca="1">INDEX(INDIRECT($K$1&amp;":"&amp;$K$2),C15,1)</f>
        <v>19” Rack Mount / Rear Mount</v>
      </c>
      <c r="F15" s="9" t="str">
        <f ca="1">INDEX(INDIRECT($K$1&amp;":"&amp;$K$2),C15,2)</f>
        <v>P</v>
      </c>
      <c r="G15" s="210">
        <f ca="1">INDEX(INDIRECT($K$1&amp;":"&amp;$K$2),C15,3)</f>
        <v>0</v>
      </c>
      <c r="H15" s="211" t="str">
        <f ca="1">INDEX(INDIRECT($K$1&amp;":"&amp;$K$2),C15,4)</f>
        <v>Y</v>
      </c>
    </row>
    <row r="16" spans="1:11">
      <c r="A16" s="203"/>
      <c r="B16" s="203"/>
      <c r="C16" s="9"/>
      <c r="D16" s="9"/>
      <c r="E16" s="209"/>
      <c r="F16" s="9"/>
      <c r="G16" s="212"/>
      <c r="H16" s="213"/>
    </row>
    <row r="17" spans="1:8">
      <c r="C17" s="9"/>
      <c r="D17" s="9"/>
      <c r="E17" s="209"/>
      <c r="F17" s="9"/>
      <c r="G17" s="215"/>
      <c r="H17" s="216"/>
    </row>
    <row r="18" spans="1:8" ht="24">
      <c r="A18" s="204">
        <v>4</v>
      </c>
      <c r="B18" s="217" t="str">
        <f>INDEX('Date Drivers'!$A$1:$B$368,Database!C19,2)</f>
        <v>Interface Module 1</v>
      </c>
      <c r="C18" s="206"/>
      <c r="D18" s="207">
        <v>9</v>
      </c>
      <c r="E18" s="208" t="str">
        <f ca="1">VLOOKUP(D18,D19:F31,2,FALSE)</f>
        <v>Two 1 Gbps LC-type connector multi mode fiber 1000BASE-SX Ethernet for up to 0.5 km + Two 100 Mbps LC-type connector multi mode fiber 100BASE-FX Ethernet for up to 2 km</v>
      </c>
      <c r="F18" s="207" t="str">
        <f ca="1">VLOOKUP(D18,D19:F31,3,FALSE)</f>
        <v>M</v>
      </c>
      <c r="G18" s="207">
        <f ca="1">VLOOKUP(D18,D19:H31,4,FALSE)</f>
        <v>0</v>
      </c>
      <c r="H18" s="207" t="str">
        <f ca="1">VLOOKUP(D18,D19:H31,5,FALSE)</f>
        <v>Y</v>
      </c>
    </row>
    <row r="19" spans="1:8">
      <c r="A19" s="203"/>
      <c r="B19" s="203"/>
      <c r="C19" s="218">
        <f>MATCH(A18,'Date Drivers'!$A$1:$A$368,0)</f>
        <v>16</v>
      </c>
      <c r="D19" s="218">
        <v>1</v>
      </c>
      <c r="E19" s="219" t="str">
        <f t="shared" ref="E19:E31" ca="1" si="0">INDEX(INDIRECT($K$1&amp;":"&amp;$K$2),C19,1)</f>
        <v>Four 1 Gbps RJ45 copper 10/100BASE-TX/1000BASE-T Ethernet ports</v>
      </c>
      <c r="F19" s="218" t="str">
        <f t="shared" ref="F19:F31" ca="1" si="1">INDEX(INDIRECT($K$1&amp;":"&amp;$K$2),C19,2)</f>
        <v>A</v>
      </c>
      <c r="G19" s="210">
        <f t="shared" ref="G19:G31" ca="1" si="2">INDEX(INDIRECT($K$1&amp;":"&amp;$K$2),C19,3)</f>
        <v>0</v>
      </c>
      <c r="H19" s="211" t="str">
        <f t="shared" ref="H19:H31" ca="1" si="3">INDEX(INDIRECT($K$1&amp;":"&amp;$K$2),C19,4)</f>
        <v>Y</v>
      </c>
    </row>
    <row r="20" spans="1:8">
      <c r="A20" s="203"/>
      <c r="B20" s="203"/>
      <c r="C20" s="9">
        <f t="shared" ref="C20:D22" si="4">C19+1</f>
        <v>17</v>
      </c>
      <c r="D20" s="9">
        <f t="shared" si="4"/>
        <v>2</v>
      </c>
      <c r="E20" s="209" t="str">
        <f t="shared" ca="1" si="0"/>
        <v>Four slots for SFP transceivers</v>
      </c>
      <c r="F20" s="9" t="str">
        <f t="shared" ca="1" si="1"/>
        <v>B</v>
      </c>
      <c r="G20" s="212">
        <f t="shared" ca="1" si="2"/>
        <v>0</v>
      </c>
      <c r="H20" s="213" t="str">
        <f t="shared" ca="1" si="3"/>
        <v>Y</v>
      </c>
    </row>
    <row r="21" spans="1:8">
      <c r="A21" s="203"/>
      <c r="B21" s="203"/>
      <c r="C21" s="9">
        <f t="shared" si="4"/>
        <v>18</v>
      </c>
      <c r="D21" s="9">
        <f t="shared" si="4"/>
        <v>3</v>
      </c>
      <c r="E21" s="209" t="str">
        <f t="shared" ca="1" si="0"/>
        <v>Four 1 Gbps LC-type connector multi mode fiber 1000BASE-SX Ethernet for up to 0.5 km</v>
      </c>
      <c r="F21" s="9" t="str">
        <f t="shared" ca="1" si="1"/>
        <v>C</v>
      </c>
      <c r="G21" s="212">
        <f t="shared" ca="1" si="2"/>
        <v>0</v>
      </c>
      <c r="H21" s="213" t="str">
        <f t="shared" ca="1" si="3"/>
        <v>Y</v>
      </c>
    </row>
    <row r="22" spans="1:8">
      <c r="B22" s="203"/>
      <c r="C22" s="9">
        <f t="shared" si="4"/>
        <v>19</v>
      </c>
      <c r="D22" s="9">
        <f t="shared" si="4"/>
        <v>4</v>
      </c>
      <c r="E22" s="209" t="str">
        <f t="shared" ca="1" si="0"/>
        <v>Four 1 Gbps LC-type connector single mode fiber 1000BASE-LX Ethernet for up to 10 km</v>
      </c>
      <c r="F22" s="9" t="str">
        <f t="shared" ca="1" si="1"/>
        <v>D</v>
      </c>
      <c r="G22" s="212">
        <f t="shared" ca="1" si="2"/>
        <v>0</v>
      </c>
      <c r="H22" s="213" t="str">
        <f t="shared" ca="1" si="3"/>
        <v>Y</v>
      </c>
    </row>
    <row r="23" spans="1:8">
      <c r="B23" s="203"/>
      <c r="C23" s="9">
        <f t="shared" ref="C23:C31" si="5">C22+1</f>
        <v>20</v>
      </c>
      <c r="D23" s="9">
        <f t="shared" ref="D23:D31" si="6">D22+1</f>
        <v>5</v>
      </c>
      <c r="E23" s="209" t="str">
        <f t="shared" ca="1" si="0"/>
        <v>Four 1 Gbps LC-type connector single mode fiber 1000BASE-ZX Ethernet for up to 40 km</v>
      </c>
      <c r="F23" s="9" t="str">
        <f t="shared" ca="1" si="1"/>
        <v>E</v>
      </c>
      <c r="G23" s="212">
        <f t="shared" ca="1" si="2"/>
        <v>0</v>
      </c>
      <c r="H23" s="213" t="str">
        <f t="shared" ca="1" si="3"/>
        <v>Y</v>
      </c>
    </row>
    <row r="24" spans="1:8">
      <c r="B24" s="203"/>
      <c r="C24" s="9">
        <f t="shared" si="5"/>
        <v>21</v>
      </c>
      <c r="D24" s="9">
        <f t="shared" si="6"/>
        <v>6</v>
      </c>
      <c r="E24" s="209" t="str">
        <f t="shared" ca="1" si="0"/>
        <v>Four 1 Gbps LC-type connector single mode fiber 1000BASE-ZX Ethernet for up to 80 km</v>
      </c>
      <c r="F24" s="9" t="str">
        <f t="shared" ca="1" si="1"/>
        <v>F</v>
      </c>
      <c r="G24" s="212">
        <f t="shared" ca="1" si="2"/>
        <v>0</v>
      </c>
      <c r="H24" s="213" t="str">
        <f t="shared" ca="1" si="3"/>
        <v>Y</v>
      </c>
    </row>
    <row r="25" spans="1:8">
      <c r="B25" s="203"/>
      <c r="C25" s="9">
        <f t="shared" si="5"/>
        <v>22</v>
      </c>
      <c r="D25" s="9">
        <f t="shared" si="6"/>
        <v>7</v>
      </c>
      <c r="E25" s="209" t="str">
        <f t="shared" ca="1" si="0"/>
        <v>Four 100 Mbps LC-type connector multi mode fiber 100BASE-FX Ethernet for up to 2 km</v>
      </c>
      <c r="F25" s="9" t="str">
        <f t="shared" ca="1" si="1"/>
        <v>H</v>
      </c>
      <c r="G25" s="212">
        <f t="shared" ca="1" si="2"/>
        <v>0</v>
      </c>
      <c r="H25" s="213" t="str">
        <f t="shared" ca="1" si="3"/>
        <v>Y</v>
      </c>
    </row>
    <row r="26" spans="1:8">
      <c r="B26" s="203"/>
      <c r="C26" s="9">
        <f t="shared" si="5"/>
        <v>23</v>
      </c>
      <c r="D26" s="9">
        <f t="shared" si="6"/>
        <v>8</v>
      </c>
      <c r="E26" s="209" t="str">
        <f t="shared" ca="1" si="0"/>
        <v>Four RJ45 copper 10/100BASE-TX</v>
      </c>
      <c r="F26" s="9" t="str">
        <f t="shared" ca="1" si="1"/>
        <v>I</v>
      </c>
      <c r="G26" s="212">
        <f t="shared" ca="1" si="2"/>
        <v>0</v>
      </c>
      <c r="H26" s="213" t="str">
        <f t="shared" ca="1" si="3"/>
        <v>Y</v>
      </c>
    </row>
    <row r="27" spans="1:8" ht="24">
      <c r="B27" s="203"/>
      <c r="C27" s="9">
        <f t="shared" si="5"/>
        <v>24</v>
      </c>
      <c r="D27" s="9">
        <f t="shared" si="6"/>
        <v>9</v>
      </c>
      <c r="E27" s="209" t="str">
        <f t="shared" ca="1" si="0"/>
        <v>Two 1 Gbps LC-type connector multi mode fiber 1000BASE-SX Ethernet for up to 0.5 km + Two 100 Mbps LC-type connector multi mode fiber 100BASE-FX Ethernet for up to 2 km</v>
      </c>
      <c r="F27" s="9" t="str">
        <f t="shared" ca="1" si="1"/>
        <v>M</v>
      </c>
      <c r="G27" s="212">
        <f t="shared" ca="1" si="2"/>
        <v>0</v>
      </c>
      <c r="H27" s="213" t="str">
        <f t="shared" ca="1" si="3"/>
        <v>Y</v>
      </c>
    </row>
    <row r="28" spans="1:8" ht="24">
      <c r="B28" s="203"/>
      <c r="C28" s="9">
        <f t="shared" si="5"/>
        <v>25</v>
      </c>
      <c r="D28" s="9">
        <f t="shared" si="6"/>
        <v>10</v>
      </c>
      <c r="E28" s="209" t="str">
        <f t="shared" ca="1" si="0"/>
        <v>Four 1 Gbps RJ45 SFP Transceivers 10/100BASE-TX/1000BASE-T Ethernet ports (Not CE marked) (Withdraw)</v>
      </c>
      <c r="F28" s="9" t="str">
        <f t="shared" ca="1" si="1"/>
        <v>J</v>
      </c>
      <c r="G28" s="212">
        <f t="shared" ca="1" si="2"/>
        <v>0</v>
      </c>
      <c r="H28" s="213" t="str">
        <f t="shared" ca="1" si="3"/>
        <v>Y</v>
      </c>
    </row>
    <row r="29" spans="1:8" ht="24">
      <c r="B29" s="203"/>
      <c r="C29" s="9">
        <f t="shared" si="5"/>
        <v>26</v>
      </c>
      <c r="D29" s="9">
        <f t="shared" si="6"/>
        <v>11</v>
      </c>
      <c r="E29" s="209" t="str">
        <f t="shared" ca="1" si="0"/>
        <v>Two 1 Gbps RJ45 SFP Transceivers 10/100BASE-TX/1000BASE-T Ethernet ports + Two 1 Gbps LC-type connector multi mode fiber 1000BASE-SX Ethernet for up to 0.5 km  (Withdraw)</v>
      </c>
      <c r="F29" s="9" t="str">
        <f t="shared" ca="1" si="1"/>
        <v>K</v>
      </c>
      <c r="G29" s="212">
        <f t="shared" ca="1" si="2"/>
        <v>0</v>
      </c>
      <c r="H29" s="213" t="str">
        <f t="shared" ca="1" si="3"/>
        <v>Y</v>
      </c>
    </row>
    <row r="30" spans="1:8" ht="24">
      <c r="B30" s="203"/>
      <c r="C30" s="9">
        <f t="shared" si="5"/>
        <v>27</v>
      </c>
      <c r="D30" s="9">
        <f t="shared" si="6"/>
        <v>12</v>
      </c>
      <c r="E30" s="209" t="str">
        <f t="shared" ca="1" si="0"/>
        <v>Two 1 Gbps RJ45 SFP Transceivers 10/100BASE-TX/1000BASE-T Ethernet ports + Two 100 Mbps LC-type connector multi mode fiber 100BASE-FX Ethernet for up to 2 km (Withdraw)</v>
      </c>
      <c r="F30" s="9" t="str">
        <f t="shared" ca="1" si="1"/>
        <v>L</v>
      </c>
      <c r="G30" s="212">
        <f t="shared" ca="1" si="2"/>
        <v>0</v>
      </c>
      <c r="H30" s="213" t="str">
        <f t="shared" ca="1" si="3"/>
        <v>Y</v>
      </c>
    </row>
    <row r="31" spans="1:8">
      <c r="B31" s="203"/>
      <c r="C31" s="9">
        <f t="shared" si="5"/>
        <v>28</v>
      </c>
      <c r="D31" s="9">
        <f t="shared" si="6"/>
        <v>13</v>
      </c>
      <c r="E31" s="209" t="str">
        <f t="shared" ca="1" si="0"/>
        <v>Not installed (Withdraw)</v>
      </c>
      <c r="F31" s="9" t="str">
        <f t="shared" ca="1" si="1"/>
        <v>X</v>
      </c>
      <c r="G31" s="212">
        <f t="shared" ca="1" si="2"/>
        <v>0</v>
      </c>
      <c r="H31" s="213" t="str">
        <f t="shared" ca="1" si="3"/>
        <v>Y</v>
      </c>
    </row>
    <row r="32" spans="1:8">
      <c r="C32" s="11"/>
      <c r="D32" s="11"/>
      <c r="E32" s="220"/>
      <c r="F32" s="11"/>
      <c r="G32" s="215"/>
      <c r="H32" s="216"/>
    </row>
    <row r="33" spans="1:8">
      <c r="A33" s="204">
        <v>5</v>
      </c>
      <c r="B33" s="217" t="str">
        <f>INDEX('Date Drivers'!$A$1:$B$368,Database!C34,2)</f>
        <v>Interface Module 2</v>
      </c>
      <c r="C33" s="206"/>
      <c r="D33" s="207">
        <v>1</v>
      </c>
      <c r="E33" s="208" t="str">
        <f ca="1">VLOOKUP(D33,D34:F43,2,FALSE)</f>
        <v>Four 1 Gbps RJ45 copper 10/100BASE-TX/1000BASE-T Ethernet ports</v>
      </c>
      <c r="F33" s="207" t="str">
        <f ca="1">VLOOKUP(D33,D34:F43,3,FALSE)</f>
        <v>A</v>
      </c>
      <c r="G33" s="207">
        <f ca="1">VLOOKUP(D33,D34:H43,4,FALSE)</f>
        <v>0</v>
      </c>
      <c r="H33" s="207" t="str">
        <f ca="1">VLOOKUP(D33,D34:H43,5,FALSE)</f>
        <v>Y</v>
      </c>
    </row>
    <row r="34" spans="1:8">
      <c r="A34" s="203"/>
      <c r="B34" s="203"/>
      <c r="C34" s="218">
        <f>MATCH(A33,'Date Drivers'!$A$1:$A$368,0)</f>
        <v>32</v>
      </c>
      <c r="D34" s="218">
        <v>1</v>
      </c>
      <c r="E34" s="219" t="str">
        <f t="shared" ref="E34:E43" ca="1" si="7">INDEX(INDIRECT($K$1&amp;":"&amp;$K$2),C34,1)</f>
        <v>Four 1 Gbps RJ45 copper 10/100BASE-TX/1000BASE-T Ethernet ports</v>
      </c>
      <c r="F34" s="218" t="str">
        <f t="shared" ref="F34:F43" ca="1" si="8">INDEX(INDIRECT($K$1&amp;":"&amp;$K$2),C34,2)</f>
        <v>A</v>
      </c>
      <c r="G34" s="210">
        <f t="shared" ref="G34:G43" ca="1" si="9">INDEX(INDIRECT($K$1&amp;":"&amp;$K$2),C34,3)</f>
        <v>0</v>
      </c>
      <c r="H34" s="211" t="str">
        <f t="shared" ref="H34:H43" ca="1" si="10">INDEX(INDIRECT($K$1&amp;":"&amp;$K$2),C34,4)</f>
        <v>Y</v>
      </c>
    </row>
    <row r="35" spans="1:8">
      <c r="B35" s="203"/>
      <c r="C35" s="9">
        <f t="shared" ref="C35:C43" si="11">C34+1</f>
        <v>33</v>
      </c>
      <c r="D35" s="9">
        <f t="shared" ref="D35:D41" si="12">D34+1</f>
        <v>2</v>
      </c>
      <c r="E35" s="209" t="str">
        <f t="shared" ca="1" si="7"/>
        <v>Four slots for SFP transceivers</v>
      </c>
      <c r="F35" s="9" t="str">
        <f t="shared" ca="1" si="8"/>
        <v>B</v>
      </c>
      <c r="G35" s="212">
        <f t="shared" ca="1" si="9"/>
        <v>0</v>
      </c>
      <c r="H35" s="213" t="str">
        <f t="shared" ca="1" si="10"/>
        <v>Y</v>
      </c>
    </row>
    <row r="36" spans="1:8">
      <c r="B36" s="203"/>
      <c r="C36" s="9">
        <f t="shared" si="11"/>
        <v>34</v>
      </c>
      <c r="D36" s="9">
        <f t="shared" si="12"/>
        <v>3</v>
      </c>
      <c r="E36" s="209" t="str">
        <f t="shared" ca="1" si="7"/>
        <v>Four 1 Gbps LC-type connector multi mode fiber 1000BASE-SX Ethernet for up to 0.5 km</v>
      </c>
      <c r="F36" s="9" t="str">
        <f t="shared" ca="1" si="8"/>
        <v>C</v>
      </c>
      <c r="G36" s="212">
        <f t="shared" ca="1" si="9"/>
        <v>0</v>
      </c>
      <c r="H36" s="213" t="str">
        <f t="shared" ca="1" si="10"/>
        <v>Y</v>
      </c>
    </row>
    <row r="37" spans="1:8">
      <c r="B37" s="203"/>
      <c r="C37" s="9">
        <f t="shared" si="11"/>
        <v>35</v>
      </c>
      <c r="D37" s="9">
        <f t="shared" si="12"/>
        <v>4</v>
      </c>
      <c r="E37" s="209" t="str">
        <f t="shared" ca="1" si="7"/>
        <v>Four 1 Gbps LC-type connector single mode fiber 1000BASE-LX Ethernet for up to 10 km</v>
      </c>
      <c r="F37" s="9" t="str">
        <f t="shared" ca="1" si="8"/>
        <v>D</v>
      </c>
      <c r="G37" s="212">
        <f t="shared" ca="1" si="9"/>
        <v>0</v>
      </c>
      <c r="H37" s="213" t="str">
        <f t="shared" ca="1" si="10"/>
        <v>Y</v>
      </c>
    </row>
    <row r="38" spans="1:8">
      <c r="B38" s="203"/>
      <c r="C38" s="9">
        <f t="shared" si="11"/>
        <v>36</v>
      </c>
      <c r="D38" s="9">
        <f t="shared" si="12"/>
        <v>5</v>
      </c>
      <c r="E38" s="209" t="str">
        <f t="shared" ca="1" si="7"/>
        <v>Four 1 Gbps LC-type connector single mode fiber 1000BASE-ZX Ethernet for up to 40 km</v>
      </c>
      <c r="F38" s="9" t="str">
        <f t="shared" ca="1" si="8"/>
        <v>E</v>
      </c>
      <c r="G38" s="212">
        <f t="shared" ca="1" si="9"/>
        <v>0</v>
      </c>
      <c r="H38" s="213" t="str">
        <f t="shared" ca="1" si="10"/>
        <v>Y</v>
      </c>
    </row>
    <row r="39" spans="1:8">
      <c r="B39" s="203"/>
      <c r="C39" s="9">
        <f t="shared" si="11"/>
        <v>37</v>
      </c>
      <c r="D39" s="9">
        <f t="shared" si="12"/>
        <v>6</v>
      </c>
      <c r="E39" s="209" t="str">
        <f t="shared" ca="1" si="7"/>
        <v>Four 1 Gbps LC-type connector single mode fiber 1000BASE-ZX Ethernet for up to 80 km</v>
      </c>
      <c r="F39" s="9" t="str">
        <f t="shared" ca="1" si="8"/>
        <v>F</v>
      </c>
      <c r="G39" s="212">
        <f t="shared" ca="1" si="9"/>
        <v>0</v>
      </c>
      <c r="H39" s="213" t="str">
        <f t="shared" ca="1" si="10"/>
        <v>Y</v>
      </c>
    </row>
    <row r="40" spans="1:8">
      <c r="B40" s="203"/>
      <c r="C40" s="9">
        <f t="shared" si="11"/>
        <v>38</v>
      </c>
      <c r="D40" s="9">
        <f t="shared" si="12"/>
        <v>7</v>
      </c>
      <c r="E40" s="209" t="str">
        <f t="shared" ca="1" si="7"/>
        <v>Four 100 Mbps LC-type connector multi mode fiber 100BASE-FX Ethernet for up to 2 km</v>
      </c>
      <c r="F40" s="9" t="str">
        <f t="shared" ca="1" si="8"/>
        <v>H</v>
      </c>
      <c r="G40" s="212">
        <f t="shared" ca="1" si="9"/>
        <v>0</v>
      </c>
      <c r="H40" s="213" t="str">
        <f t="shared" ca="1" si="10"/>
        <v>Y</v>
      </c>
    </row>
    <row r="41" spans="1:8">
      <c r="B41" s="203"/>
      <c r="C41" s="9">
        <f t="shared" si="11"/>
        <v>39</v>
      </c>
      <c r="D41" s="9">
        <f t="shared" si="12"/>
        <v>8</v>
      </c>
      <c r="E41" s="209" t="str">
        <f t="shared" ca="1" si="7"/>
        <v>Four RJ45 copper 10/100BASE-TX</v>
      </c>
      <c r="F41" s="9" t="str">
        <f t="shared" ca="1" si="8"/>
        <v>I</v>
      </c>
      <c r="G41" s="212">
        <f t="shared" ca="1" si="9"/>
        <v>0</v>
      </c>
      <c r="H41" s="213" t="str">
        <f t="shared" ca="1" si="10"/>
        <v>Y</v>
      </c>
    </row>
    <row r="42" spans="1:8">
      <c r="B42" s="203"/>
      <c r="C42" s="9">
        <f t="shared" si="11"/>
        <v>40</v>
      </c>
      <c r="D42" s="9">
        <f>D41+1</f>
        <v>9</v>
      </c>
      <c r="E42" s="209" t="str">
        <f t="shared" ca="1" si="7"/>
        <v>Not installed</v>
      </c>
      <c r="F42" s="9" t="str">
        <f t="shared" ca="1" si="8"/>
        <v>X</v>
      </c>
      <c r="G42" s="212">
        <f t="shared" ca="1" si="9"/>
        <v>0</v>
      </c>
      <c r="H42" s="213" t="str">
        <f t="shared" ca="1" si="10"/>
        <v>Y</v>
      </c>
    </row>
    <row r="43" spans="1:8" ht="24">
      <c r="B43" s="203"/>
      <c r="C43" s="9">
        <f t="shared" si="11"/>
        <v>41</v>
      </c>
      <c r="D43" s="9">
        <f>D42+1</f>
        <v>10</v>
      </c>
      <c r="E43" s="209" t="str">
        <f t="shared" ca="1" si="7"/>
        <v>Four 1 Gbps RJ45 SFP Transceivers 10/100BASE-TX/1000BASE-T Ethernet ports (Not CE marked) (Withdraw)</v>
      </c>
      <c r="F43" s="9" t="str">
        <f t="shared" ca="1" si="8"/>
        <v>J</v>
      </c>
      <c r="G43" s="212">
        <f t="shared" ca="1" si="9"/>
        <v>0</v>
      </c>
      <c r="H43" s="213" t="str">
        <f t="shared" ca="1" si="10"/>
        <v>Y</v>
      </c>
    </row>
    <row r="44" spans="1:8">
      <c r="B44" s="203"/>
      <c r="C44" s="9"/>
      <c r="D44" s="9"/>
      <c r="E44" s="209"/>
      <c r="F44" s="9"/>
      <c r="G44" s="215"/>
      <c r="H44" s="216"/>
    </row>
    <row r="45" spans="1:8">
      <c r="A45" s="204">
        <v>6</v>
      </c>
      <c r="B45" s="217" t="str">
        <f>INDEX('Date Drivers'!$A$1:$B$368,Database!C46,2)</f>
        <v>Interface Module 3</v>
      </c>
      <c r="C45" s="206"/>
      <c r="D45" s="207">
        <v>9</v>
      </c>
      <c r="E45" s="208" t="str">
        <f ca="1">VLOOKUP(D45,D46:F55,2,FALSE)</f>
        <v>Not installed</v>
      </c>
      <c r="F45" s="207" t="str">
        <f ca="1">VLOOKUP(D45,D46:F55,3,FALSE)</f>
        <v>X</v>
      </c>
      <c r="G45" s="207">
        <f ca="1">VLOOKUP(D45,D46:H55,4,FALSE)</f>
        <v>0</v>
      </c>
      <c r="H45" s="207" t="str">
        <f ca="1">VLOOKUP(D45,D46:H55,5,FALSE)</f>
        <v>Y</v>
      </c>
    </row>
    <row r="46" spans="1:8">
      <c r="A46" s="203"/>
      <c r="B46" s="203"/>
      <c r="C46" s="218">
        <f>MATCH(A45,'Date Drivers'!$A$1:$A$368,0)</f>
        <v>43</v>
      </c>
      <c r="D46" s="1">
        <v>1</v>
      </c>
      <c r="E46" s="219" t="str">
        <f t="shared" ref="E46:E55" ca="1" si="13">INDEX(INDIRECT($K$1&amp;":"&amp;$K$2),C46,1)</f>
        <v>Four 1 Gbps RJ45 copper 10/100BASE-TX/1000BASE-T Ethernet ports</v>
      </c>
      <c r="F46" s="218" t="str">
        <f t="shared" ref="F46:F55" ca="1" si="14">INDEX(INDIRECT($K$1&amp;":"&amp;$K$2),C46,2)</f>
        <v>A</v>
      </c>
      <c r="G46" s="210">
        <f t="shared" ref="G46:G55" ca="1" si="15">INDEX(INDIRECT($K$1&amp;":"&amp;$K$2),C46,3)</f>
        <v>0</v>
      </c>
      <c r="H46" s="211" t="str">
        <f t="shared" ref="H46:H55" ca="1" si="16">INDEX(INDIRECT($K$1&amp;":"&amp;$K$2),C46,4)</f>
        <v>Y</v>
      </c>
    </row>
    <row r="47" spans="1:8">
      <c r="B47" s="203"/>
      <c r="C47" s="9">
        <f t="shared" ref="C47:C55" si="17">C46+1</f>
        <v>44</v>
      </c>
      <c r="D47" s="1">
        <f t="shared" ref="D47:D53" si="18">D46+1</f>
        <v>2</v>
      </c>
      <c r="E47" s="209" t="str">
        <f t="shared" ca="1" si="13"/>
        <v>Four slots for SFP transceivers</v>
      </c>
      <c r="F47" s="9" t="str">
        <f t="shared" ca="1" si="14"/>
        <v>B</v>
      </c>
      <c r="G47" s="212">
        <f t="shared" ca="1" si="15"/>
        <v>0</v>
      </c>
      <c r="H47" s="213" t="str">
        <f t="shared" ca="1" si="16"/>
        <v>Y</v>
      </c>
    </row>
    <row r="48" spans="1:8">
      <c r="B48" s="203"/>
      <c r="C48" s="9">
        <f t="shared" si="17"/>
        <v>45</v>
      </c>
      <c r="D48" s="1">
        <f t="shared" si="18"/>
        <v>3</v>
      </c>
      <c r="E48" s="209" t="str">
        <f t="shared" ca="1" si="13"/>
        <v>Four 1 Gbps LC-type connector multi mode fiber 1000BASE-SX Ethernet for up to 0.5 km</v>
      </c>
      <c r="F48" s="9" t="str">
        <f t="shared" ca="1" si="14"/>
        <v>C</v>
      </c>
      <c r="G48" s="212">
        <f t="shared" ca="1" si="15"/>
        <v>0</v>
      </c>
      <c r="H48" s="213" t="str">
        <f t="shared" ca="1" si="16"/>
        <v>Y</v>
      </c>
    </row>
    <row r="49" spans="1:8">
      <c r="B49" s="203"/>
      <c r="C49" s="9">
        <f t="shared" si="17"/>
        <v>46</v>
      </c>
      <c r="D49" s="1">
        <f t="shared" si="18"/>
        <v>4</v>
      </c>
      <c r="E49" s="209" t="str">
        <f t="shared" ca="1" si="13"/>
        <v>Four 1 Gbps LC-type connector single mode fiber 1000BASE-LX Ethernet for up to 10 km</v>
      </c>
      <c r="F49" s="9" t="str">
        <f t="shared" ca="1" si="14"/>
        <v>D</v>
      </c>
      <c r="G49" s="212">
        <f t="shared" ca="1" si="15"/>
        <v>0</v>
      </c>
      <c r="H49" s="213" t="str">
        <f t="shared" ca="1" si="16"/>
        <v>Y</v>
      </c>
    </row>
    <row r="50" spans="1:8">
      <c r="B50" s="203"/>
      <c r="C50" s="9">
        <f t="shared" si="17"/>
        <v>47</v>
      </c>
      <c r="D50" s="1">
        <f t="shared" si="18"/>
        <v>5</v>
      </c>
      <c r="E50" s="209" t="str">
        <f t="shared" ca="1" si="13"/>
        <v>Four 1 Gbps LC-type connector single mode fiber 1000BASE-ZX Ethernet for up to 40 km</v>
      </c>
      <c r="F50" s="9" t="str">
        <f t="shared" ca="1" si="14"/>
        <v>E</v>
      </c>
      <c r="G50" s="212">
        <f t="shared" ca="1" si="15"/>
        <v>0</v>
      </c>
      <c r="H50" s="213" t="str">
        <f t="shared" ca="1" si="16"/>
        <v>Y</v>
      </c>
    </row>
    <row r="51" spans="1:8">
      <c r="B51" s="203"/>
      <c r="C51" s="9">
        <f t="shared" si="17"/>
        <v>48</v>
      </c>
      <c r="D51" s="1">
        <f t="shared" si="18"/>
        <v>6</v>
      </c>
      <c r="E51" s="209" t="str">
        <f t="shared" ca="1" si="13"/>
        <v>Four 1 Gbps LC-type connector single mode fiber 1000BASE-ZX Ethernet for up to 80 km</v>
      </c>
      <c r="F51" s="9" t="str">
        <f t="shared" ca="1" si="14"/>
        <v>F</v>
      </c>
      <c r="G51" s="212">
        <f t="shared" ca="1" si="15"/>
        <v>0</v>
      </c>
      <c r="H51" s="213" t="str">
        <f t="shared" ca="1" si="16"/>
        <v>Y</v>
      </c>
    </row>
    <row r="52" spans="1:8">
      <c r="B52" s="203"/>
      <c r="C52" s="9">
        <f t="shared" si="17"/>
        <v>49</v>
      </c>
      <c r="D52" s="1">
        <f t="shared" si="18"/>
        <v>7</v>
      </c>
      <c r="E52" s="209" t="str">
        <f t="shared" ca="1" si="13"/>
        <v>Four 100 Mbps LC-type connector multi mode fiber 100BASE-FX Ethernet for up to 2 km</v>
      </c>
      <c r="F52" s="9" t="str">
        <f t="shared" ca="1" si="14"/>
        <v>H</v>
      </c>
      <c r="G52" s="212">
        <f t="shared" ca="1" si="15"/>
        <v>0</v>
      </c>
      <c r="H52" s="213" t="str">
        <f t="shared" ca="1" si="16"/>
        <v>Y</v>
      </c>
    </row>
    <row r="53" spans="1:8">
      <c r="C53" s="9">
        <f t="shared" si="17"/>
        <v>50</v>
      </c>
      <c r="D53" s="1">
        <f t="shared" si="18"/>
        <v>8</v>
      </c>
      <c r="E53" s="209" t="str">
        <f t="shared" ca="1" si="13"/>
        <v>Four RJ45 copper 10/100BASE-TX</v>
      </c>
      <c r="F53" s="9" t="str">
        <f t="shared" ca="1" si="14"/>
        <v>I</v>
      </c>
      <c r="G53" s="212">
        <f t="shared" ca="1" si="15"/>
        <v>0</v>
      </c>
      <c r="H53" s="213" t="str">
        <f t="shared" ca="1" si="16"/>
        <v>Y</v>
      </c>
    </row>
    <row r="54" spans="1:8">
      <c r="C54" s="9">
        <f t="shared" si="17"/>
        <v>51</v>
      </c>
      <c r="D54" s="1">
        <f>D53+1</f>
        <v>9</v>
      </c>
      <c r="E54" s="209" t="str">
        <f t="shared" ca="1" si="13"/>
        <v>Not installed</v>
      </c>
      <c r="F54" s="9" t="str">
        <f t="shared" ca="1" si="14"/>
        <v>X</v>
      </c>
      <c r="G54" s="212">
        <f t="shared" ca="1" si="15"/>
        <v>0</v>
      </c>
      <c r="H54" s="213" t="str">
        <f t="shared" ca="1" si="16"/>
        <v>Y</v>
      </c>
    </row>
    <row r="55" spans="1:8" ht="24">
      <c r="C55" s="9">
        <f t="shared" si="17"/>
        <v>52</v>
      </c>
      <c r="D55" s="1">
        <f>D54+1</f>
        <v>10</v>
      </c>
      <c r="E55" s="209" t="str">
        <f t="shared" ca="1" si="13"/>
        <v>Four 1 Gbps RJ45 SFP Transceivers 10/100BASE-TX/1000BASE-T Ethernet ports (Not CE marked) (Withdraw)</v>
      </c>
      <c r="F55" s="9" t="str">
        <f t="shared" ca="1" si="14"/>
        <v>J</v>
      </c>
      <c r="G55" s="212">
        <f t="shared" ca="1" si="15"/>
        <v>0</v>
      </c>
      <c r="H55" s="213" t="str">
        <f t="shared" ca="1" si="16"/>
        <v>Y</v>
      </c>
    </row>
    <row r="56" spans="1:8">
      <c r="C56" s="11"/>
      <c r="E56" s="220"/>
      <c r="F56" s="11"/>
      <c r="G56" s="215"/>
      <c r="H56" s="216"/>
    </row>
    <row r="57" spans="1:8">
      <c r="A57" s="204">
        <v>7</v>
      </c>
      <c r="B57" s="217" t="str">
        <f>INDEX('Date Drivers'!$A$1:$B$368,Database!C58,2)</f>
        <v>Interface Module 4</v>
      </c>
      <c r="C57" s="206"/>
      <c r="D57" s="207">
        <v>9</v>
      </c>
      <c r="E57" s="208" t="str">
        <f ca="1">VLOOKUP(D57,D58:F67,2,FALSE)</f>
        <v>Not installed</v>
      </c>
      <c r="F57" s="207" t="str">
        <f ca="1">VLOOKUP(D57,D58:F67,3,FALSE)</f>
        <v>X</v>
      </c>
      <c r="G57" s="207">
        <f ca="1">VLOOKUP(D57,D58:H67,4,FALSE)</f>
        <v>0</v>
      </c>
      <c r="H57" s="207" t="str">
        <f ca="1">VLOOKUP(D57,D58:H67,5,FALSE)</f>
        <v>Y</v>
      </c>
    </row>
    <row r="58" spans="1:8">
      <c r="A58" s="203"/>
      <c r="B58" s="203"/>
      <c r="C58" s="218">
        <f>MATCH(A57,'Date Drivers'!$A$1:$A$368,0)</f>
        <v>54</v>
      </c>
      <c r="D58" s="218">
        <v>1</v>
      </c>
      <c r="E58" s="219" t="str">
        <f t="shared" ref="E58:E67" ca="1" si="19">INDEX(INDIRECT($K$1&amp;":"&amp;$K$2),C58,1)</f>
        <v>Four 1 Gbps RJ45 copper 10/100BASE-TX/1000BASE-T Ethernet ports</v>
      </c>
      <c r="F58" s="218" t="str">
        <f t="shared" ref="F58:F67" ca="1" si="20">INDEX(INDIRECT($K$1&amp;":"&amp;$K$2),C58,2)</f>
        <v>A</v>
      </c>
      <c r="G58" s="210">
        <f t="shared" ref="G58:G67" ca="1" si="21">INDEX(INDIRECT($K$1&amp;":"&amp;$K$2),C58,3)</f>
        <v>0</v>
      </c>
      <c r="H58" s="211" t="str">
        <f t="shared" ref="H58:H67" ca="1" si="22">INDEX(INDIRECT($K$1&amp;":"&amp;$K$2),C58,4)</f>
        <v>Y</v>
      </c>
    </row>
    <row r="59" spans="1:8">
      <c r="B59" s="203"/>
      <c r="C59" s="9">
        <f t="shared" ref="C59:C67" si="23">C58+1</f>
        <v>55</v>
      </c>
      <c r="D59" s="1">
        <f t="shared" ref="D59:D65" si="24">D58+1</f>
        <v>2</v>
      </c>
      <c r="E59" s="209" t="str">
        <f t="shared" ca="1" si="19"/>
        <v>Four slots for SFP transceivers</v>
      </c>
      <c r="F59" s="9" t="str">
        <f t="shared" ca="1" si="20"/>
        <v>B</v>
      </c>
      <c r="G59" s="212">
        <f t="shared" ca="1" si="21"/>
        <v>0</v>
      </c>
      <c r="H59" s="213" t="str">
        <f t="shared" ca="1" si="22"/>
        <v>Y</v>
      </c>
    </row>
    <row r="60" spans="1:8">
      <c r="B60" s="203"/>
      <c r="C60" s="9">
        <f t="shared" si="23"/>
        <v>56</v>
      </c>
      <c r="D60" s="1">
        <f t="shared" si="24"/>
        <v>3</v>
      </c>
      <c r="E60" s="209" t="str">
        <f t="shared" ca="1" si="19"/>
        <v>Four 1 Gbps LC-type connector multi mode fiber 1000BASE-SX Ethernet for up to 0.5 km</v>
      </c>
      <c r="F60" s="9" t="str">
        <f t="shared" ca="1" si="20"/>
        <v>C</v>
      </c>
      <c r="G60" s="212">
        <f t="shared" ca="1" si="21"/>
        <v>0</v>
      </c>
      <c r="H60" s="213" t="str">
        <f t="shared" ca="1" si="22"/>
        <v>Y</v>
      </c>
    </row>
    <row r="61" spans="1:8">
      <c r="B61" s="203"/>
      <c r="C61" s="9">
        <f t="shared" si="23"/>
        <v>57</v>
      </c>
      <c r="D61" s="1">
        <f t="shared" si="24"/>
        <v>4</v>
      </c>
      <c r="E61" s="209" t="str">
        <f t="shared" ca="1" si="19"/>
        <v>Four 1 Gbps LC-type connector single mode fiber 1000BASE-LX Ethernet for up to 10 km</v>
      </c>
      <c r="F61" s="9" t="str">
        <f t="shared" ca="1" si="20"/>
        <v>D</v>
      </c>
      <c r="G61" s="212">
        <f t="shared" ca="1" si="21"/>
        <v>0</v>
      </c>
      <c r="H61" s="213" t="str">
        <f t="shared" ca="1" si="22"/>
        <v>Y</v>
      </c>
    </row>
    <row r="62" spans="1:8">
      <c r="B62" s="203"/>
      <c r="C62" s="9">
        <f t="shared" si="23"/>
        <v>58</v>
      </c>
      <c r="D62" s="1">
        <f t="shared" si="24"/>
        <v>5</v>
      </c>
      <c r="E62" s="209" t="str">
        <f t="shared" ca="1" si="19"/>
        <v>Four 1 Gbps LC-type connector single mode fiber 1000BASE-ZX Ethernet for up to 40 km</v>
      </c>
      <c r="F62" s="9" t="str">
        <f t="shared" ca="1" si="20"/>
        <v>E</v>
      </c>
      <c r="G62" s="212">
        <f t="shared" ca="1" si="21"/>
        <v>0</v>
      </c>
      <c r="H62" s="213" t="str">
        <f t="shared" ca="1" si="22"/>
        <v>Y</v>
      </c>
    </row>
    <row r="63" spans="1:8">
      <c r="B63" s="203"/>
      <c r="C63" s="9">
        <f t="shared" si="23"/>
        <v>59</v>
      </c>
      <c r="D63" s="1">
        <f t="shared" si="24"/>
        <v>6</v>
      </c>
      <c r="E63" s="209" t="str">
        <f t="shared" ca="1" si="19"/>
        <v>Four 1 Gbps LC-type connector single mode fiber 1000BASE-ZX Ethernet for up to 80 km</v>
      </c>
      <c r="F63" s="9" t="str">
        <f t="shared" ca="1" si="20"/>
        <v>F</v>
      </c>
      <c r="G63" s="212">
        <f t="shared" ca="1" si="21"/>
        <v>0</v>
      </c>
      <c r="H63" s="213" t="str">
        <f t="shared" ca="1" si="22"/>
        <v>Y</v>
      </c>
    </row>
    <row r="64" spans="1:8">
      <c r="B64" s="203"/>
      <c r="C64" s="9">
        <f t="shared" si="23"/>
        <v>60</v>
      </c>
      <c r="D64" s="1">
        <f t="shared" si="24"/>
        <v>7</v>
      </c>
      <c r="E64" s="209" t="str">
        <f t="shared" ca="1" si="19"/>
        <v>Four 100 Mbps LC-type connector multi mode fiber 100BASE-FX Ethernet for up to 2 km</v>
      </c>
      <c r="F64" s="9" t="str">
        <f t="shared" ca="1" si="20"/>
        <v>H</v>
      </c>
      <c r="G64" s="212">
        <f t="shared" ca="1" si="21"/>
        <v>0</v>
      </c>
      <c r="H64" s="213" t="str">
        <f t="shared" ca="1" si="22"/>
        <v>Y</v>
      </c>
    </row>
    <row r="65" spans="1:8">
      <c r="B65" s="203"/>
      <c r="C65" s="9">
        <f t="shared" si="23"/>
        <v>61</v>
      </c>
      <c r="D65" s="1">
        <f t="shared" si="24"/>
        <v>8</v>
      </c>
      <c r="E65" s="209" t="str">
        <f t="shared" ca="1" si="19"/>
        <v>Four RJ45 copper 10/100BASE-TX</v>
      </c>
      <c r="F65" s="9" t="str">
        <f t="shared" ca="1" si="20"/>
        <v>I</v>
      </c>
      <c r="G65" s="212">
        <f t="shared" ca="1" si="21"/>
        <v>0</v>
      </c>
      <c r="H65" s="213" t="str">
        <f t="shared" ca="1" si="22"/>
        <v>Y</v>
      </c>
    </row>
    <row r="66" spans="1:8">
      <c r="B66" s="203"/>
      <c r="C66" s="9">
        <f t="shared" si="23"/>
        <v>62</v>
      </c>
      <c r="D66" s="1">
        <f>D65+1</f>
        <v>9</v>
      </c>
      <c r="E66" s="209" t="str">
        <f t="shared" ca="1" si="19"/>
        <v>Not installed</v>
      </c>
      <c r="F66" s="9" t="str">
        <f t="shared" ca="1" si="20"/>
        <v>X</v>
      </c>
      <c r="G66" s="212">
        <f t="shared" ca="1" si="21"/>
        <v>0</v>
      </c>
      <c r="H66" s="213" t="str">
        <f t="shared" ca="1" si="22"/>
        <v>Y</v>
      </c>
    </row>
    <row r="67" spans="1:8" ht="24">
      <c r="B67" s="203"/>
      <c r="C67" s="9">
        <f t="shared" si="23"/>
        <v>63</v>
      </c>
      <c r="D67" s="1">
        <f>D66+1</f>
        <v>10</v>
      </c>
      <c r="E67" s="209" t="str">
        <f t="shared" ca="1" si="19"/>
        <v>Four 1 Gbps RJ45 SFP Transceivers 10/100BASE-TX/1000BASE-T Ethernet ports (Not CE marked) (Withdraw)</v>
      </c>
      <c r="F67" s="9" t="str">
        <f t="shared" ca="1" si="20"/>
        <v>J</v>
      </c>
      <c r="G67" s="212">
        <f t="shared" ca="1" si="21"/>
        <v>0</v>
      </c>
      <c r="H67" s="213" t="str">
        <f t="shared" ca="1" si="22"/>
        <v>Y</v>
      </c>
    </row>
    <row r="68" spans="1:8">
      <c r="C68" s="11"/>
      <c r="D68" s="11"/>
      <c r="E68" s="220"/>
      <c r="F68" s="11"/>
      <c r="G68" s="215"/>
      <c r="H68" s="216"/>
    </row>
    <row r="69" spans="1:8">
      <c r="A69" s="204">
        <v>8</v>
      </c>
      <c r="B69" s="217" t="str">
        <f>INDEX('Date Drivers'!$A$1:$B$368,Database!C70,2)</f>
        <v>Interface Module 5</v>
      </c>
      <c r="C69" s="206"/>
      <c r="D69" s="207">
        <v>9</v>
      </c>
      <c r="E69" s="221" t="str">
        <f ca="1">VLOOKUP(D69,D70:H80,2,FALSE)</f>
        <v>Not installed</v>
      </c>
      <c r="F69" s="207" t="str">
        <f ca="1">VLOOKUP(D69,D70:H80,3,FALSE)</f>
        <v>X</v>
      </c>
      <c r="G69" s="207">
        <f ca="1">VLOOKUP(D69,D70:H80,4,FALSE)</f>
        <v>0</v>
      </c>
      <c r="H69" s="207" t="str">
        <f ca="1">VLOOKUP(D69,D70:H80,5,FALSE)</f>
        <v>Y</v>
      </c>
    </row>
    <row r="70" spans="1:8">
      <c r="A70" s="222"/>
      <c r="B70" s="200"/>
      <c r="C70" s="218">
        <f>MATCH(A69,'Date Drivers'!$A$1:$A$368,0)</f>
        <v>65</v>
      </c>
      <c r="D70" s="218">
        <v>1</v>
      </c>
      <c r="E70" s="223" t="str">
        <f t="shared" ref="E70:E79" ca="1" si="25">INDEX(INDIRECT($K$1&amp;":"&amp;$K$2),C70,1)</f>
        <v>Four 1 Gbps RJ45 copper 10/100BASE-TX/1000BASE-T Ethernet ports</v>
      </c>
      <c r="F70" s="9" t="str">
        <f t="shared" ref="F70:F79" ca="1" si="26">INDEX(INDIRECT($K$1&amp;":"&amp;$K$2),C70,2)</f>
        <v>A</v>
      </c>
      <c r="G70" s="210">
        <f t="shared" ref="G70:G79" ca="1" si="27">INDEX(INDIRECT($K$1&amp;":"&amp;$K$2),C70,3)</f>
        <v>0</v>
      </c>
      <c r="H70" s="211" t="str">
        <f t="shared" ref="H70:H79" ca="1" si="28">INDEX(INDIRECT($K$1&amp;":"&amp;$K$2),C70,4)</f>
        <v>Y</v>
      </c>
    </row>
    <row r="71" spans="1:8">
      <c r="A71" s="222"/>
      <c r="B71" s="200"/>
      <c r="C71" s="9">
        <f t="shared" ref="C71:C79" si="29">C70+1</f>
        <v>66</v>
      </c>
      <c r="D71" s="9">
        <f t="shared" ref="D71:D77" si="30">D70+1</f>
        <v>2</v>
      </c>
      <c r="E71" s="223" t="str">
        <f t="shared" ca="1" si="25"/>
        <v>Four slots for SFP transceivers</v>
      </c>
      <c r="F71" s="9" t="str">
        <f t="shared" ca="1" si="26"/>
        <v>B</v>
      </c>
      <c r="G71" s="212">
        <f t="shared" ca="1" si="27"/>
        <v>0</v>
      </c>
      <c r="H71" s="213" t="str">
        <f t="shared" ca="1" si="28"/>
        <v>Y</v>
      </c>
    </row>
    <row r="72" spans="1:8">
      <c r="A72" s="222"/>
      <c r="B72" s="200"/>
      <c r="C72" s="9">
        <f t="shared" si="29"/>
        <v>67</v>
      </c>
      <c r="D72" s="9">
        <f t="shared" si="30"/>
        <v>3</v>
      </c>
      <c r="E72" s="223" t="str">
        <f t="shared" ca="1" si="25"/>
        <v>Four 1 Gbps LC-type connector multi mode fiber 1000BASE-SX Ethernet for up to 0.5 km</v>
      </c>
      <c r="F72" s="9" t="str">
        <f t="shared" ca="1" si="26"/>
        <v>C</v>
      </c>
      <c r="G72" s="212">
        <f t="shared" ca="1" si="27"/>
        <v>0</v>
      </c>
      <c r="H72" s="213" t="str">
        <f t="shared" ca="1" si="28"/>
        <v>Y</v>
      </c>
    </row>
    <row r="73" spans="1:8">
      <c r="A73" s="222"/>
      <c r="B73" s="200"/>
      <c r="C73" s="9">
        <f t="shared" si="29"/>
        <v>68</v>
      </c>
      <c r="D73" s="9">
        <f t="shared" si="30"/>
        <v>4</v>
      </c>
      <c r="E73" s="223" t="str">
        <f t="shared" ca="1" si="25"/>
        <v>Four 1 Gbps LC-type connector single mode fiber 1000BASE-LX Ethernet for up to 10 km</v>
      </c>
      <c r="F73" s="9" t="str">
        <f t="shared" ca="1" si="26"/>
        <v>D</v>
      </c>
      <c r="G73" s="212">
        <f t="shared" ca="1" si="27"/>
        <v>0</v>
      </c>
      <c r="H73" s="213" t="str">
        <f t="shared" ca="1" si="28"/>
        <v>Y</v>
      </c>
    </row>
    <row r="74" spans="1:8">
      <c r="A74" s="222"/>
      <c r="B74" s="200"/>
      <c r="C74" s="9">
        <f t="shared" si="29"/>
        <v>69</v>
      </c>
      <c r="D74" s="9">
        <f t="shared" si="30"/>
        <v>5</v>
      </c>
      <c r="E74" s="223" t="str">
        <f t="shared" ca="1" si="25"/>
        <v>Four 1 Gbps LC-type connector single mode fiber 1000BASE-ZX Ethernet for up to 40 km</v>
      </c>
      <c r="F74" s="9" t="str">
        <f t="shared" ca="1" si="26"/>
        <v>E</v>
      </c>
      <c r="G74" s="212">
        <f t="shared" ca="1" si="27"/>
        <v>0</v>
      </c>
      <c r="H74" s="213" t="str">
        <f t="shared" ca="1" si="28"/>
        <v>Y</v>
      </c>
    </row>
    <row r="75" spans="1:8">
      <c r="A75" s="222"/>
      <c r="B75" s="200"/>
      <c r="C75" s="9">
        <f t="shared" si="29"/>
        <v>70</v>
      </c>
      <c r="D75" s="9">
        <f t="shared" si="30"/>
        <v>6</v>
      </c>
      <c r="E75" s="223" t="str">
        <f t="shared" ca="1" si="25"/>
        <v>Four 1 Gbps LC-type connector single mode fiber 1000BASE-ZX Ethernet for up to 80 km</v>
      </c>
      <c r="F75" s="9" t="str">
        <f t="shared" ca="1" si="26"/>
        <v>F</v>
      </c>
      <c r="G75" s="212">
        <f t="shared" ca="1" si="27"/>
        <v>0</v>
      </c>
      <c r="H75" s="213" t="str">
        <f t="shared" ca="1" si="28"/>
        <v>Y</v>
      </c>
    </row>
    <row r="76" spans="1:8">
      <c r="A76" s="222"/>
      <c r="B76" s="200"/>
      <c r="C76" s="9">
        <f t="shared" si="29"/>
        <v>71</v>
      </c>
      <c r="D76" s="9">
        <f t="shared" si="30"/>
        <v>7</v>
      </c>
      <c r="E76" s="223" t="str">
        <f t="shared" ca="1" si="25"/>
        <v>Four 100 Mbps LC-type connector multi mode fiber 100BASE-FX Ethernet for up to 2 km</v>
      </c>
      <c r="F76" s="9" t="str">
        <f t="shared" ca="1" si="26"/>
        <v>H</v>
      </c>
      <c r="G76" s="212">
        <f t="shared" ca="1" si="27"/>
        <v>0</v>
      </c>
      <c r="H76" s="213" t="str">
        <f t="shared" ca="1" si="28"/>
        <v>Y</v>
      </c>
    </row>
    <row r="77" spans="1:8">
      <c r="A77" s="222"/>
      <c r="B77" s="200"/>
      <c r="C77" s="9">
        <f t="shared" si="29"/>
        <v>72</v>
      </c>
      <c r="D77" s="9">
        <f t="shared" si="30"/>
        <v>8</v>
      </c>
      <c r="E77" s="223" t="str">
        <f t="shared" ca="1" si="25"/>
        <v>Four RJ45 copper 10/100BASE-TX</v>
      </c>
      <c r="F77" s="9" t="str">
        <f t="shared" ca="1" si="26"/>
        <v>I</v>
      </c>
      <c r="G77" s="212">
        <f t="shared" ca="1" si="27"/>
        <v>0</v>
      </c>
      <c r="H77" s="213" t="str">
        <f t="shared" ca="1" si="28"/>
        <v>Y</v>
      </c>
    </row>
    <row r="78" spans="1:8">
      <c r="A78" s="222"/>
      <c r="B78" s="200"/>
      <c r="C78" s="9">
        <f t="shared" si="29"/>
        <v>73</v>
      </c>
      <c r="D78" s="9">
        <f>D77+1</f>
        <v>9</v>
      </c>
      <c r="E78" s="223" t="str">
        <f t="shared" ca="1" si="25"/>
        <v>Not installed</v>
      </c>
      <c r="F78" s="9" t="str">
        <f t="shared" ca="1" si="26"/>
        <v>X</v>
      </c>
      <c r="G78" s="212">
        <f t="shared" ca="1" si="27"/>
        <v>0</v>
      </c>
      <c r="H78" s="213" t="str">
        <f t="shared" ca="1" si="28"/>
        <v>Y</v>
      </c>
    </row>
    <row r="79" spans="1:8" ht="24">
      <c r="A79" s="222"/>
      <c r="B79" s="200"/>
      <c r="C79" s="9">
        <f t="shared" si="29"/>
        <v>74</v>
      </c>
      <c r="D79" s="9">
        <f>D78+1</f>
        <v>10</v>
      </c>
      <c r="E79" s="223" t="str">
        <f t="shared" ca="1" si="25"/>
        <v>Four 1 Gbps RJ45 SFP Transceivers 10/100BASE-TX/1000BASE-T Ethernet ports (Not CE marked) (Withdraw)</v>
      </c>
      <c r="F79" s="9" t="str">
        <f t="shared" ca="1" si="26"/>
        <v>J</v>
      </c>
      <c r="G79" s="212">
        <f t="shared" ca="1" si="27"/>
        <v>0</v>
      </c>
      <c r="H79" s="213" t="str">
        <f t="shared" ca="1" si="28"/>
        <v>Y</v>
      </c>
    </row>
    <row r="80" spans="1:8">
      <c r="A80" s="222"/>
      <c r="B80" s="200"/>
      <c r="C80" s="9"/>
      <c r="D80" s="9"/>
      <c r="E80" s="223"/>
      <c r="F80" s="9"/>
      <c r="G80" s="215"/>
      <c r="H80" s="216"/>
    </row>
    <row r="81" spans="1:8">
      <c r="A81" s="204">
        <v>9</v>
      </c>
      <c r="B81" s="217" t="str">
        <f>INDEX('Date Drivers'!$A$1:$B$368,Database!C82,2)</f>
        <v>Interface Module 6</v>
      </c>
      <c r="C81" s="206"/>
      <c r="D81" s="207">
        <v>7</v>
      </c>
      <c r="E81" s="224" t="str">
        <f ca="1">VLOOKUP(D81,D82:H92,2,FALSE)</f>
        <v>Four 100 Mbps LC-type connector multi mode fiber 100BASE-FX Ethernet for up to 2 km</v>
      </c>
      <c r="F81" s="207" t="str">
        <f ca="1">VLOOKUP(D81,D82:H92,3,FALSE)</f>
        <v>H</v>
      </c>
      <c r="G81" s="207">
        <f ca="1">VLOOKUP(D81,D82:H92,4,FALSE)</f>
        <v>0</v>
      </c>
      <c r="H81" s="207" t="str">
        <f ca="1">VLOOKUP(D81,D82:H92,5,FALSE)</f>
        <v>Y</v>
      </c>
    </row>
    <row r="82" spans="1:8">
      <c r="A82" s="222"/>
      <c r="B82" s="200"/>
      <c r="C82" s="218">
        <f>MATCH(A81,'Date Drivers'!$A$1:$A$368,0)</f>
        <v>76</v>
      </c>
      <c r="D82" s="218">
        <v>1</v>
      </c>
      <c r="E82" s="219" t="str">
        <f t="shared" ref="E82:E91" ca="1" si="31">INDEX(INDIRECT($K$1&amp;":"&amp;$K$2),C82,1)</f>
        <v>Four 1 Gbps RJ45 copper 10/100BASE-TX/1000BASE-T Ethernet ports</v>
      </c>
      <c r="F82" s="218" t="str">
        <f t="shared" ref="F82:F91" ca="1" si="32">INDEX(INDIRECT($K$1&amp;":"&amp;$K$2),C82,2)</f>
        <v>A</v>
      </c>
      <c r="G82" s="210">
        <f t="shared" ref="G82:G91" ca="1" si="33">INDEX(INDIRECT($K$1&amp;":"&amp;$K$2),C82,3)</f>
        <v>0</v>
      </c>
      <c r="H82" s="211" t="str">
        <f t="shared" ref="H82:H91" ca="1" si="34">INDEX(INDIRECT($K$1&amp;":"&amp;$K$2),C82,4)</f>
        <v>Y</v>
      </c>
    </row>
    <row r="83" spans="1:8">
      <c r="A83" s="222"/>
      <c r="B83" s="200"/>
      <c r="C83" s="9">
        <f>C82+1</f>
        <v>77</v>
      </c>
      <c r="D83" s="9">
        <f>D82+1</f>
        <v>2</v>
      </c>
      <c r="E83" s="209" t="str">
        <f t="shared" ca="1" si="31"/>
        <v>Four slots for SFP transceivers</v>
      </c>
      <c r="F83" s="9" t="str">
        <f t="shared" ca="1" si="32"/>
        <v>B</v>
      </c>
      <c r="G83" s="212">
        <f t="shared" ca="1" si="33"/>
        <v>0</v>
      </c>
      <c r="H83" s="213" t="str">
        <f t="shared" ca="1" si="34"/>
        <v>Y</v>
      </c>
    </row>
    <row r="84" spans="1:8">
      <c r="A84" s="222"/>
      <c r="B84" s="200"/>
      <c r="C84" s="9">
        <f t="shared" ref="C84:C91" si="35">C83+1</f>
        <v>78</v>
      </c>
      <c r="D84" s="9">
        <f t="shared" ref="D84:D91" si="36">D83+1</f>
        <v>3</v>
      </c>
      <c r="E84" s="209" t="str">
        <f t="shared" ca="1" si="31"/>
        <v>Four 1 Gbps LC-type connector multi mode fiber 1000BASE-SX Ethernet for up to 0.5 km</v>
      </c>
      <c r="F84" s="9" t="str">
        <f t="shared" ca="1" si="32"/>
        <v>C</v>
      </c>
      <c r="G84" s="212">
        <f t="shared" ca="1" si="33"/>
        <v>0</v>
      </c>
      <c r="H84" s="213" t="str">
        <f t="shared" ca="1" si="34"/>
        <v>Y</v>
      </c>
    </row>
    <row r="85" spans="1:8">
      <c r="A85" s="222"/>
      <c r="B85" s="200"/>
      <c r="C85" s="9">
        <f t="shared" si="35"/>
        <v>79</v>
      </c>
      <c r="D85" s="9">
        <f t="shared" si="36"/>
        <v>4</v>
      </c>
      <c r="E85" s="209" t="str">
        <f t="shared" ca="1" si="31"/>
        <v>Four 1 Gbps LC-type connector single mode fiber 1000BASE-LX Ethernet for up to 10 km</v>
      </c>
      <c r="F85" s="9" t="str">
        <f t="shared" ca="1" si="32"/>
        <v>D</v>
      </c>
      <c r="G85" s="212">
        <f t="shared" ca="1" si="33"/>
        <v>0</v>
      </c>
      <c r="H85" s="213" t="str">
        <f t="shared" ca="1" si="34"/>
        <v>Y</v>
      </c>
    </row>
    <row r="86" spans="1:8">
      <c r="A86" s="222"/>
      <c r="B86" s="200"/>
      <c r="C86" s="9">
        <f t="shared" si="35"/>
        <v>80</v>
      </c>
      <c r="D86" s="9">
        <f t="shared" si="36"/>
        <v>5</v>
      </c>
      <c r="E86" s="209" t="str">
        <f t="shared" ca="1" si="31"/>
        <v>Four 1 Gbps LC-type connector single mode fiber 1000BASE-ZX Ethernet for up to 40 km</v>
      </c>
      <c r="F86" s="9" t="str">
        <f t="shared" ca="1" si="32"/>
        <v>E</v>
      </c>
      <c r="G86" s="212">
        <f t="shared" ca="1" si="33"/>
        <v>0</v>
      </c>
      <c r="H86" s="213" t="str">
        <f t="shared" ca="1" si="34"/>
        <v>Y</v>
      </c>
    </row>
    <row r="87" spans="1:8">
      <c r="A87" s="222"/>
      <c r="B87" s="200"/>
      <c r="C87" s="9">
        <f t="shared" si="35"/>
        <v>81</v>
      </c>
      <c r="D87" s="9">
        <f t="shared" si="36"/>
        <v>6</v>
      </c>
      <c r="E87" s="209" t="str">
        <f t="shared" ca="1" si="31"/>
        <v>Four 1 Gbps LC-type connector single mode fiber 1000BASE-ZX Ethernet for up to 80 km</v>
      </c>
      <c r="F87" s="9" t="str">
        <f t="shared" ca="1" si="32"/>
        <v>F</v>
      </c>
      <c r="G87" s="212">
        <f t="shared" ca="1" si="33"/>
        <v>0</v>
      </c>
      <c r="H87" s="213" t="str">
        <f t="shared" ca="1" si="34"/>
        <v>Y</v>
      </c>
    </row>
    <row r="88" spans="1:8">
      <c r="A88" s="222"/>
      <c r="B88" s="200"/>
      <c r="C88" s="9">
        <f t="shared" si="35"/>
        <v>82</v>
      </c>
      <c r="D88" s="9">
        <f t="shared" si="36"/>
        <v>7</v>
      </c>
      <c r="E88" s="209" t="str">
        <f t="shared" ca="1" si="31"/>
        <v>Four 100 Mbps LC-type connector multi mode fiber 100BASE-FX Ethernet for up to 2 km</v>
      </c>
      <c r="F88" s="9" t="str">
        <f t="shared" ca="1" si="32"/>
        <v>H</v>
      </c>
      <c r="G88" s="212">
        <f t="shared" ca="1" si="33"/>
        <v>0</v>
      </c>
      <c r="H88" s="213" t="str">
        <f t="shared" ca="1" si="34"/>
        <v>Y</v>
      </c>
    </row>
    <row r="89" spans="1:8">
      <c r="A89" s="222"/>
      <c r="B89" s="200"/>
      <c r="C89" s="9">
        <f t="shared" si="35"/>
        <v>83</v>
      </c>
      <c r="D89" s="9">
        <f t="shared" si="36"/>
        <v>8</v>
      </c>
      <c r="E89" s="209" t="str">
        <f t="shared" ca="1" si="31"/>
        <v>Four RJ45 copper 10/100BASE-TX</v>
      </c>
      <c r="F89" s="9" t="str">
        <f t="shared" ca="1" si="32"/>
        <v>I</v>
      </c>
      <c r="G89" s="212">
        <f t="shared" ca="1" si="33"/>
        <v>0</v>
      </c>
      <c r="H89" s="213" t="str">
        <f t="shared" ca="1" si="34"/>
        <v>Y</v>
      </c>
    </row>
    <row r="90" spans="1:8">
      <c r="A90" s="222"/>
      <c r="B90" s="200"/>
      <c r="C90" s="9">
        <f t="shared" si="35"/>
        <v>84</v>
      </c>
      <c r="D90" s="9">
        <f t="shared" si="36"/>
        <v>9</v>
      </c>
      <c r="E90" s="209" t="str">
        <f t="shared" ca="1" si="31"/>
        <v>Not installed</v>
      </c>
      <c r="F90" s="9" t="str">
        <f t="shared" ca="1" si="32"/>
        <v>X</v>
      </c>
      <c r="G90" s="212">
        <f t="shared" ca="1" si="33"/>
        <v>0</v>
      </c>
      <c r="H90" s="213" t="str">
        <f t="shared" ca="1" si="34"/>
        <v>Y</v>
      </c>
    </row>
    <row r="91" spans="1:8" ht="24">
      <c r="A91" s="222"/>
      <c r="B91" s="200"/>
      <c r="C91" s="9">
        <f t="shared" si="35"/>
        <v>85</v>
      </c>
      <c r="D91" s="9">
        <f t="shared" si="36"/>
        <v>10</v>
      </c>
      <c r="E91" s="209" t="str">
        <f t="shared" ca="1" si="31"/>
        <v>Four 1 Gbps RJ45 SFP Transceivers 10/100BASE-TX/1000BASE-T Ethernet ports (Not CE marked) (Withdraw)</v>
      </c>
      <c r="F91" s="9" t="str">
        <f t="shared" ca="1" si="32"/>
        <v>J</v>
      </c>
      <c r="G91" s="212">
        <f t="shared" ca="1" si="33"/>
        <v>0</v>
      </c>
      <c r="H91" s="213" t="str">
        <f t="shared" ca="1" si="34"/>
        <v>Y</v>
      </c>
    </row>
    <row r="92" spans="1:8">
      <c r="A92" s="225"/>
      <c r="B92" s="226"/>
      <c r="C92" s="11"/>
      <c r="D92" s="11"/>
      <c r="E92" s="220"/>
      <c r="F92" s="11"/>
      <c r="G92" s="215"/>
      <c r="H92" s="216"/>
    </row>
    <row r="93" spans="1:8">
      <c r="A93" s="204">
        <v>10</v>
      </c>
      <c r="B93" s="217" t="str">
        <f>INDEX('Date Drivers'!$A$1:$B$368,Database!C94,2)</f>
        <v>Firmware Version</v>
      </c>
      <c r="C93" s="206"/>
      <c r="D93" s="207">
        <v>1</v>
      </c>
      <c r="E93" s="208" t="str">
        <f ca="1">VLOOKUP(D93,D94:H95,2,FALSE)</f>
        <v>Latest available firmware - 06</v>
      </c>
      <c r="F93" s="227" t="str">
        <f ca="1">VLOOKUP(D93,D94:H95,3,FALSE)</f>
        <v>06</v>
      </c>
      <c r="G93" s="207">
        <f ca="1">VLOOKUP(D93,D94:H95,4,FALSE)</f>
        <v>0</v>
      </c>
      <c r="H93" s="207" t="str">
        <f ca="1">VLOOKUP(D93,D94:H95,5,FALSE)</f>
        <v>Y</v>
      </c>
    </row>
    <row r="94" spans="1:8">
      <c r="A94" s="222"/>
      <c r="B94" s="200"/>
      <c r="C94" s="218">
        <f>MATCH(A93,'Date Drivers'!$A$1:$A$368,0)</f>
        <v>87</v>
      </c>
      <c r="D94" s="218">
        <v>1</v>
      </c>
      <c r="E94" s="219" t="str">
        <f ca="1">INDEX(INDIRECT($K$1&amp;":"&amp;$K$2),C94,1)</f>
        <v>Latest available firmware - 06</v>
      </c>
      <c r="F94" s="218" t="str">
        <f ca="1">INDEX(INDIRECT($K$1&amp;":"&amp;$K$2),C94,2)</f>
        <v>06</v>
      </c>
      <c r="G94" s="210">
        <f ca="1">INDEX(INDIRECT($K$1&amp;":"&amp;$K$2),C94,3)</f>
        <v>0</v>
      </c>
      <c r="H94" s="211" t="str">
        <f ca="1">INDEX(INDIRECT($K$1&amp;":"&amp;$K$2),C94,4)</f>
        <v>Y</v>
      </c>
    </row>
    <row r="95" spans="1:8">
      <c r="A95" s="222"/>
      <c r="B95" s="200"/>
      <c r="C95" s="9">
        <f>C94+1</f>
        <v>88</v>
      </c>
      <c r="D95" s="9">
        <f>D94+1</f>
        <v>2</v>
      </c>
      <c r="E95" s="209" t="str">
        <f ca="1">INDEX(INDIRECT($K$1&amp;":"&amp;$K$2),C95,1)</f>
        <v>Firmware version number - 05</v>
      </c>
      <c r="F95" s="9" t="str">
        <f ca="1">INDEX(INDIRECT($K$1&amp;":"&amp;$K$2),C95,2)</f>
        <v>05</v>
      </c>
      <c r="G95" s="212">
        <f ca="1">INDEX(INDIRECT($K$1&amp;":"&amp;$K$2),C95,3)</f>
        <v>0</v>
      </c>
      <c r="H95" s="213" t="s">
        <v>40</v>
      </c>
    </row>
    <row r="96" spans="1:8">
      <c r="A96" s="225"/>
      <c r="B96" s="226"/>
      <c r="C96" s="11"/>
      <c r="D96" s="11"/>
      <c r="E96" s="220"/>
      <c r="F96" s="9"/>
      <c r="G96" s="215"/>
      <c r="H96" s="216"/>
    </row>
    <row r="97" spans="1:8">
      <c r="A97" s="204">
        <v>11</v>
      </c>
      <c r="B97" s="217" t="str">
        <f>INDEX('Date Drivers'!$A$1:$B$368,Database!C98,2)</f>
        <v>Hardware Design Suffix</v>
      </c>
      <c r="C97" s="206"/>
      <c r="D97" s="235">
        <v>1</v>
      </c>
      <c r="E97" s="208" t="str">
        <f ca="1">VLOOKUP(D97,D98:H99,2,FALSE)</f>
        <v>Standard hardware release</v>
      </c>
      <c r="F97" s="207" t="str">
        <f ca="1">VLOOKUP(D97,D98:H99,3,FALSE)</f>
        <v>B</v>
      </c>
      <c r="G97" s="207">
        <f ca="1">VLOOKUP(D97,D98:H99,4,FALSE)</f>
        <v>0</v>
      </c>
      <c r="H97" s="207" t="str">
        <f ca="1">VLOOKUP(D97,D98:H99,5,FALSE)</f>
        <v>Y</v>
      </c>
    </row>
    <row r="98" spans="1:8">
      <c r="A98" s="222"/>
      <c r="B98" s="200"/>
      <c r="C98" s="9">
        <f>MATCH(A97,'Date Drivers'!$A$1:$A$368,0)</f>
        <v>89</v>
      </c>
      <c r="D98" s="231">
        <v>1</v>
      </c>
      <c r="E98" s="232" t="str">
        <f ca="1">INDEX(INDIRECT($K$1&amp;":"&amp;$K$2),C98,1)</f>
        <v>Standard hardware release</v>
      </c>
      <c r="F98" s="218" t="str">
        <f ca="1">INDEX(INDIRECT($K$1&amp;":"&amp;$K$2),C98,2)</f>
        <v>B</v>
      </c>
      <c r="G98" s="210">
        <f ca="1">INDEX(INDIRECT($K$1&amp;":"&amp;$K$2),C98,3)</f>
        <v>0</v>
      </c>
      <c r="H98" s="210" t="str">
        <f ca="1">INDEX(INDIRECT($K$1&amp;":"&amp;$K$2),C98,4)</f>
        <v>Y</v>
      </c>
    </row>
    <row r="99" spans="1:8">
      <c r="A99" s="222"/>
      <c r="B99" s="200"/>
      <c r="C99" s="9">
        <f>C98+1</f>
        <v>90</v>
      </c>
      <c r="D99" s="231">
        <v>2</v>
      </c>
      <c r="E99" s="232" t="str">
        <f ca="1">INDEX(INDIRECT($K$1&amp;":"&amp;$K$2),C99,1)</f>
        <v>Alternate hardware release (Withdraw)</v>
      </c>
      <c r="F99" s="9" t="str">
        <f ca="1">INDEX(INDIRECT($K$1&amp;":"&amp;$K$2),C99,2)</f>
        <v>BL</v>
      </c>
      <c r="G99" s="212">
        <f ca="1">INDEX(INDIRECT($K$1&amp;":"&amp;$K$2),C99,3)</f>
        <v>0</v>
      </c>
      <c r="H99" s="212" t="str">
        <f ca="1">INDEX(INDIRECT($K$1&amp;":"&amp;$K$2),C99,4)</f>
        <v>Y</v>
      </c>
    </row>
    <row r="100" spans="1:8">
      <c r="A100" s="225"/>
      <c r="B100" s="226"/>
      <c r="C100" s="11"/>
      <c r="D100" s="11"/>
      <c r="E100" s="228"/>
      <c r="F100" s="11"/>
      <c r="G100" s="215"/>
      <c r="H100" s="216"/>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6"/>
  <dimension ref="A1:AD91"/>
  <sheetViews>
    <sheetView zoomScaleNormal="100" workbookViewId="0">
      <pane xSplit="2" ySplit="1" topLeftCell="V2" activePane="bottomRight" state="frozen"/>
      <selection pane="topRight" activeCell="C1" sqref="C1"/>
      <selection pane="bottomLeft" activeCell="A2" sqref="A2"/>
      <selection pane="bottomRight" activeCell="AA2" sqref="AA2"/>
    </sheetView>
  </sheetViews>
  <sheetFormatPr defaultRowHeight="12"/>
  <cols>
    <col min="1" max="1" width="5" style="3" customWidth="1"/>
    <col min="2" max="2" width="39.85546875" style="15" bestFit="1" customWidth="1"/>
    <col min="3" max="3" width="81.28515625" style="19" bestFit="1" customWidth="1"/>
    <col min="4" max="4" width="9.7109375" style="21" customWidth="1"/>
    <col min="5" max="5" width="9.7109375" style="101" customWidth="1"/>
    <col min="6" max="6" width="5.42578125" style="21" customWidth="1"/>
    <col min="7" max="7" width="72.7109375" style="19" hidden="1" customWidth="1"/>
    <col min="8" max="8" width="9.7109375" style="21" hidden="1" customWidth="1"/>
    <col min="9" max="9" width="9.7109375" style="101" hidden="1" customWidth="1"/>
    <col min="10" max="10" width="5.42578125" style="21" hidden="1" customWidth="1"/>
    <col min="11" max="11" width="81.28515625" style="19" bestFit="1" customWidth="1"/>
    <col min="12" max="12" width="9.7109375" style="21" customWidth="1"/>
    <col min="13" max="13" width="9.7109375" style="101" customWidth="1"/>
    <col min="14" max="14" width="5.42578125" style="21" customWidth="1"/>
    <col min="15" max="15" width="81.28515625" style="19" bestFit="1" customWidth="1"/>
    <col min="16" max="16" width="9.7109375" style="21" customWidth="1"/>
    <col min="17" max="17" width="9.7109375" style="101" customWidth="1"/>
    <col min="18" max="18" width="5.42578125" style="21" customWidth="1"/>
    <col min="19" max="19" width="81.28515625" style="19" bestFit="1" customWidth="1"/>
    <col min="20" max="20" width="9.7109375" style="21" customWidth="1"/>
    <col min="21" max="21" width="9.7109375" style="101" customWidth="1"/>
    <col min="22" max="22" width="5.42578125" style="21" customWidth="1"/>
    <col min="23" max="23" width="81.28515625" style="246" bestFit="1" customWidth="1"/>
    <col min="24" max="24" width="9.7109375" style="247" customWidth="1"/>
    <col min="25" max="25" width="9.7109375" style="249" customWidth="1"/>
    <col min="26" max="26" width="5.42578125" style="247" customWidth="1"/>
    <col min="27" max="27" width="81.28515625" style="246" bestFit="1" customWidth="1"/>
    <col min="28" max="28" width="9.7109375" style="247" customWidth="1"/>
    <col min="29" max="29" width="9.7109375" style="249" customWidth="1"/>
    <col min="30" max="30" width="5.42578125" style="247" customWidth="1"/>
    <col min="31" max="16384" width="9.140625" style="15"/>
  </cols>
  <sheetData>
    <row r="1" spans="1:30">
      <c r="A1" s="161"/>
      <c r="B1" s="162" t="s">
        <v>102</v>
      </c>
      <c r="C1" s="163">
        <f>Database!$E$1</f>
        <v>43348</v>
      </c>
      <c r="D1" s="163"/>
      <c r="E1" s="163"/>
      <c r="F1" s="163"/>
      <c r="H1" s="163"/>
      <c r="I1" s="163"/>
      <c r="J1" s="163"/>
      <c r="K1" s="163">
        <f>Database!$E$1</f>
        <v>43348</v>
      </c>
      <c r="L1" s="163"/>
      <c r="M1" s="163"/>
      <c r="N1" s="163"/>
      <c r="O1" s="163">
        <f>Database!$E$1</f>
        <v>43348</v>
      </c>
      <c r="P1" s="163"/>
      <c r="Q1" s="163"/>
      <c r="R1" s="163"/>
      <c r="S1" s="163">
        <f>Database!$E$1</f>
        <v>43348</v>
      </c>
      <c r="T1" s="163"/>
      <c r="U1" s="163"/>
      <c r="V1" s="163"/>
      <c r="W1" s="251">
        <f>Database!$E$1</f>
        <v>43348</v>
      </c>
      <c r="X1" s="251"/>
      <c r="Y1" s="251"/>
      <c r="Z1" s="251"/>
      <c r="AA1" s="251">
        <f>Database!$E$1</f>
        <v>43348</v>
      </c>
      <c r="AB1" s="251"/>
      <c r="AC1" s="251"/>
      <c r="AD1" s="251"/>
    </row>
    <row r="2" spans="1:30">
      <c r="A2" s="161"/>
      <c r="B2" s="162" t="s">
        <v>103</v>
      </c>
      <c r="C2" s="164">
        <v>42356</v>
      </c>
      <c r="D2" s="165"/>
      <c r="E2" s="165"/>
      <c r="F2" s="165"/>
      <c r="G2" s="164">
        <v>42060</v>
      </c>
      <c r="H2" s="165"/>
      <c r="I2" s="165"/>
      <c r="J2" s="165"/>
      <c r="K2" s="164">
        <v>42445</v>
      </c>
      <c r="L2" s="165"/>
      <c r="M2" s="165"/>
      <c r="N2" s="165"/>
      <c r="O2" s="164">
        <v>42494</v>
      </c>
      <c r="P2" s="165"/>
      <c r="Q2" s="165"/>
      <c r="R2" s="165"/>
      <c r="S2" s="164">
        <v>42556</v>
      </c>
      <c r="T2" s="165"/>
      <c r="U2" s="165"/>
      <c r="V2" s="165"/>
      <c r="W2" s="252">
        <v>42656</v>
      </c>
      <c r="X2" s="253"/>
      <c r="Y2" s="253"/>
      <c r="Z2" s="253"/>
      <c r="AA2" s="252">
        <v>43348</v>
      </c>
      <c r="AB2" s="253"/>
      <c r="AC2" s="253"/>
      <c r="AD2" s="253"/>
    </row>
    <row r="3" spans="1:30">
      <c r="A3" s="166" t="s">
        <v>35</v>
      </c>
      <c r="B3" s="167" t="s">
        <v>36</v>
      </c>
      <c r="C3" s="168" t="s">
        <v>37</v>
      </c>
      <c r="D3" s="168" t="s">
        <v>38</v>
      </c>
      <c r="E3" s="168" t="s">
        <v>44</v>
      </c>
      <c r="F3" s="169" t="s">
        <v>39</v>
      </c>
      <c r="G3" s="168" t="s">
        <v>37</v>
      </c>
      <c r="H3" s="168" t="s">
        <v>38</v>
      </c>
      <c r="I3" s="168" t="s">
        <v>44</v>
      </c>
      <c r="J3" s="169" t="s">
        <v>39</v>
      </c>
      <c r="K3" s="168" t="s">
        <v>37</v>
      </c>
      <c r="L3" s="168" t="s">
        <v>38</v>
      </c>
      <c r="M3" s="168" t="s">
        <v>44</v>
      </c>
      <c r="N3" s="169" t="s">
        <v>39</v>
      </c>
      <c r="O3" s="168" t="s">
        <v>37</v>
      </c>
      <c r="P3" s="168" t="s">
        <v>38</v>
      </c>
      <c r="Q3" s="168" t="s">
        <v>44</v>
      </c>
      <c r="R3" s="169" t="s">
        <v>39</v>
      </c>
      <c r="S3" s="168" t="s">
        <v>37</v>
      </c>
      <c r="T3" s="168" t="s">
        <v>38</v>
      </c>
      <c r="U3" s="168" t="s">
        <v>44</v>
      </c>
      <c r="V3" s="169" t="s">
        <v>39</v>
      </c>
      <c r="W3" s="254" t="s">
        <v>37</v>
      </c>
      <c r="X3" s="254" t="s">
        <v>38</v>
      </c>
      <c r="Y3" s="254" t="s">
        <v>44</v>
      </c>
      <c r="Z3" s="255" t="s">
        <v>39</v>
      </c>
      <c r="AA3" s="254" t="s">
        <v>37</v>
      </c>
      <c r="AB3" s="254" t="s">
        <v>38</v>
      </c>
      <c r="AC3" s="254" t="s">
        <v>44</v>
      </c>
      <c r="AD3" s="255" t="s">
        <v>39</v>
      </c>
    </row>
    <row r="4" spans="1:30">
      <c r="A4" s="20"/>
      <c r="B4" s="170" t="str">
        <f>HLOOKUP(Language!$C$3,Language!$E$1:$Z464,2,FALSE)</f>
        <v>Model Type</v>
      </c>
      <c r="C4" s="171" t="str">
        <f>CONCATENATE(HLOOKUP(Language!$C$3,Language!$E$1:$Z464,4,FALSE)," ",HLOOKUP(Language!$C$3,Language!$E$1:$Z464,3,FALSE))</f>
        <v>S2024G Modular Managed Ethernet Switch</v>
      </c>
      <c r="D4" s="172"/>
      <c r="E4" s="172"/>
      <c r="F4" s="173"/>
      <c r="G4" s="171" t="str">
        <f>CONCATENATE(HLOOKUP(Language!$C$3,Language!$E$1:$Z464,4,FALSE)," ",HLOOKUP(Language!$C$3,Language!$E$1:$Z464,3,FALSE))</f>
        <v>S2024G Modular Managed Ethernet Switch</v>
      </c>
      <c r="H4" s="172"/>
      <c r="I4" s="172"/>
      <c r="J4" s="173"/>
      <c r="K4" s="171" t="str">
        <f>CONCATENATE(HLOOKUP(Language!$C$3,Language!$E$1:$Z464,4,FALSE)," ",HLOOKUP(Language!$C$3,Language!$E$1:$Z464,3,FALSE))</f>
        <v>S2024G Modular Managed Ethernet Switch</v>
      </c>
      <c r="L4" s="172"/>
      <c r="M4" s="172"/>
      <c r="N4" s="173"/>
      <c r="O4" s="171" t="str">
        <f>CONCATENATE(HLOOKUP(Language!$C$3,Language!$E$1:$Z464,4,FALSE)," ",HLOOKUP(Language!$C$3,Language!$E$1:$Z464,3,FALSE))</f>
        <v>S2024G Modular Managed Ethernet Switch</v>
      </c>
      <c r="P4" s="172"/>
      <c r="Q4" s="172"/>
      <c r="R4" s="173"/>
      <c r="S4" s="171" t="str">
        <f>CONCATENATE(HLOOKUP(Language!$C$3,Language!$E$1:$Z464,4,FALSE)," ",HLOOKUP(Language!$C$3,Language!$E$1:$Z464,3,FALSE))</f>
        <v>S2024G Modular Managed Ethernet Switch</v>
      </c>
      <c r="T4" s="172"/>
      <c r="U4" s="172"/>
      <c r="V4" s="173"/>
      <c r="W4" s="256" t="str">
        <f>CONCATENATE(HLOOKUP(Language!$C$3,Language!$E$1:$Z464,4,FALSE)," ",HLOOKUP(Language!$C$3,Language!$E$1:$Z464,3,FALSE))</f>
        <v>S2024G Modular Managed Ethernet Switch</v>
      </c>
      <c r="X4" s="257"/>
      <c r="Y4" s="257"/>
      <c r="Z4" s="258"/>
      <c r="AA4" s="256" t="str">
        <f>CONCATENATE(HLOOKUP(Language!$C$3,Language!$E$1:$Z464,4,FALSE)," ",HLOOKUP(Language!$C$3,Language!$E$1:$Z464,3,FALSE))</f>
        <v>S2024G Modular Managed Ethernet Switch</v>
      </c>
      <c r="AB4" s="257"/>
      <c r="AC4" s="257"/>
      <c r="AD4" s="258"/>
    </row>
    <row r="5" spans="1:30">
      <c r="A5" s="20"/>
      <c r="B5" s="174" t="s">
        <v>101</v>
      </c>
      <c r="C5" s="175" t="str">
        <f>HLOOKUP(Language!$C$3,Language!$E$1:$Z465,4,FALSE)</f>
        <v>S2024G</v>
      </c>
      <c r="D5" s="175"/>
      <c r="E5" s="176"/>
      <c r="F5" s="175" t="s">
        <v>40</v>
      </c>
      <c r="G5" s="175" t="str">
        <f>HLOOKUP(Language!$C$3,Language!$E$1:$Z465,4,FALSE)</f>
        <v>S2024G</v>
      </c>
      <c r="H5" s="175"/>
      <c r="I5" s="176"/>
      <c r="J5" s="175" t="s">
        <v>40</v>
      </c>
      <c r="K5" s="175" t="str">
        <f>HLOOKUP(Language!$C$3,Language!$E$1:$Z465,4,FALSE)</f>
        <v>S2024G</v>
      </c>
      <c r="L5" s="175"/>
      <c r="M5" s="176"/>
      <c r="N5" s="175" t="s">
        <v>40</v>
      </c>
      <c r="O5" s="175" t="str">
        <f>HLOOKUP(Language!$C$3,Language!$E$1:$Z465,4,FALSE)</f>
        <v>S2024G</v>
      </c>
      <c r="P5" s="175"/>
      <c r="Q5" s="176"/>
      <c r="R5" s="175" t="s">
        <v>40</v>
      </c>
      <c r="S5" s="175" t="str">
        <f>HLOOKUP(Language!$C$3,Language!$E$1:$Z465,4,FALSE)</f>
        <v>S2024G</v>
      </c>
      <c r="T5" s="175"/>
      <c r="U5" s="176"/>
      <c r="V5" s="175" t="s">
        <v>40</v>
      </c>
      <c r="W5" s="259" t="str">
        <f>HLOOKUP(Language!$C$3,Language!$E$1:$Z465,4,FALSE)</f>
        <v>S2024G</v>
      </c>
      <c r="X5" s="259"/>
      <c r="Y5" s="260"/>
      <c r="Z5" s="259" t="s">
        <v>40</v>
      </c>
      <c r="AA5" s="259" t="str">
        <f>HLOOKUP(Language!$C$3,Language!$E$1:$Z465,4,FALSE)</f>
        <v>S2024G</v>
      </c>
      <c r="AB5" s="259"/>
      <c r="AC5" s="260"/>
      <c r="AD5" s="259" t="s">
        <v>40</v>
      </c>
    </row>
    <row r="6" spans="1:30">
      <c r="A6" s="177">
        <v>1</v>
      </c>
      <c r="B6" s="16" t="str">
        <f>HLOOKUP(Language!$C$3,Language!$E$1:$Z497,5,FALSE)</f>
        <v>Power Supply 1</v>
      </c>
      <c r="C6" s="178" t="str">
        <f>HLOOKUP(Language!$C$3,Language!$E$1:$Z503,40,FALSE)</f>
        <v>24-48 Vdc</v>
      </c>
      <c r="D6" s="178">
        <v>1</v>
      </c>
      <c r="E6" s="178"/>
      <c r="F6" s="178" t="s">
        <v>40</v>
      </c>
      <c r="G6" s="178" t="str">
        <f>HLOOKUP(Language!$C$3,Language!$E$1:$Z503,40,FALSE)</f>
        <v>24-48 Vdc</v>
      </c>
      <c r="H6" s="178">
        <v>1</v>
      </c>
      <c r="I6" s="178"/>
      <c r="J6" s="178" t="s">
        <v>40</v>
      </c>
      <c r="K6" s="178" t="str">
        <f>HLOOKUP(Language!$C$3,Language!$E$1:$Z503,40,FALSE)</f>
        <v>24-48 Vdc</v>
      </c>
      <c r="L6" s="178">
        <v>1</v>
      </c>
      <c r="M6" s="178"/>
      <c r="N6" s="178" t="s">
        <v>40</v>
      </c>
      <c r="O6" s="178" t="str">
        <f>HLOOKUP(Language!$C$3,Language!$E$1:$Z503,40,FALSE)</f>
        <v>24-48 Vdc</v>
      </c>
      <c r="P6" s="178">
        <v>1</v>
      </c>
      <c r="Q6" s="178"/>
      <c r="R6" s="178" t="s">
        <v>40</v>
      </c>
      <c r="S6" s="178" t="str">
        <f>HLOOKUP(Language!$C$3,Language!$E$1:$Z503,40,FALSE)</f>
        <v>24-48 Vdc</v>
      </c>
      <c r="T6" s="178">
        <v>1</v>
      </c>
      <c r="U6" s="178"/>
      <c r="V6" s="178" t="s">
        <v>40</v>
      </c>
      <c r="W6" s="261" t="str">
        <f>HLOOKUP(Language!$C$3,Language!$E$1:$Z503,40,FALSE)</f>
        <v>24-48 Vdc</v>
      </c>
      <c r="X6" s="261">
        <v>1</v>
      </c>
      <c r="Y6" s="261"/>
      <c r="Z6" s="261" t="s">
        <v>40</v>
      </c>
      <c r="AA6" s="261" t="str">
        <f>HLOOKUP(Language!$C$3,Language!$E$1:$Z503,40,FALSE)</f>
        <v>24-48 Vdc</v>
      </c>
      <c r="AB6" s="261">
        <v>1</v>
      </c>
      <c r="AC6" s="261"/>
      <c r="AD6" s="261" t="s">
        <v>40</v>
      </c>
    </row>
    <row r="7" spans="1:30">
      <c r="A7" s="179"/>
      <c r="B7" s="17"/>
      <c r="C7" s="180" t="str">
        <f>HLOOKUP(Language!$C$3,Language!$E$1:$Z499,7,FALSE)</f>
        <v>100-250 Vdc / 110-240 Vac</v>
      </c>
      <c r="D7" s="180">
        <v>3</v>
      </c>
      <c r="E7" s="180"/>
      <c r="F7" s="180" t="s">
        <v>40</v>
      </c>
      <c r="G7" s="180" t="str">
        <f>HLOOKUP(Language!$C$3,Language!$E$1:$Z499,7,FALSE)</f>
        <v>100-250 Vdc / 110-240 Vac</v>
      </c>
      <c r="H7" s="180">
        <v>3</v>
      </c>
      <c r="I7" s="180"/>
      <c r="J7" s="180" t="s">
        <v>40</v>
      </c>
      <c r="K7" s="180" t="str">
        <f>HLOOKUP(Language!$C$3,Language!$E$1:$Z499,7,FALSE)</f>
        <v>100-250 Vdc / 110-240 Vac</v>
      </c>
      <c r="L7" s="180">
        <v>3</v>
      </c>
      <c r="M7" s="180"/>
      <c r="N7" s="180" t="s">
        <v>40</v>
      </c>
      <c r="O7" s="180" t="str">
        <f>HLOOKUP(Language!$C$3,Language!$E$1:$Z499,7,FALSE)</f>
        <v>100-250 Vdc / 110-240 Vac</v>
      </c>
      <c r="P7" s="180">
        <v>3</v>
      </c>
      <c r="Q7" s="180"/>
      <c r="R7" s="180" t="s">
        <v>40</v>
      </c>
      <c r="S7" s="180" t="str">
        <f>HLOOKUP(Language!$C$3,Language!$E$1:$Z499,7,FALSE)</f>
        <v>100-250 Vdc / 110-240 Vac</v>
      </c>
      <c r="T7" s="180">
        <v>3</v>
      </c>
      <c r="U7" s="180"/>
      <c r="V7" s="180" t="s">
        <v>40</v>
      </c>
      <c r="W7" s="262" t="str">
        <f>HLOOKUP(Language!$C$3,Language!$E$1:$Z499,7,FALSE)</f>
        <v>100-250 Vdc / 110-240 Vac</v>
      </c>
      <c r="X7" s="262">
        <v>3</v>
      </c>
      <c r="Y7" s="262"/>
      <c r="Z7" s="262" t="s">
        <v>40</v>
      </c>
      <c r="AA7" s="262" t="str">
        <f>HLOOKUP(Language!$C$3,Language!$E$1:$Z499,7,FALSE)</f>
        <v>100-250 Vdc / 110-240 Vac</v>
      </c>
      <c r="AB7" s="262">
        <v>3</v>
      </c>
      <c r="AC7" s="262"/>
      <c r="AD7" s="262" t="s">
        <v>40</v>
      </c>
    </row>
    <row r="8" spans="1:30">
      <c r="A8" s="181"/>
      <c r="B8" s="23"/>
      <c r="C8" s="182"/>
      <c r="D8" s="182"/>
      <c r="E8" s="182"/>
      <c r="F8" s="182"/>
      <c r="G8" s="182"/>
      <c r="H8" s="182"/>
      <c r="I8" s="182"/>
      <c r="J8" s="182"/>
      <c r="K8" s="182"/>
      <c r="L8" s="182"/>
      <c r="M8" s="182"/>
      <c r="N8" s="182"/>
      <c r="O8" s="182"/>
      <c r="P8" s="182"/>
      <c r="Q8" s="182"/>
      <c r="R8" s="182"/>
      <c r="S8" s="182"/>
      <c r="T8" s="182"/>
      <c r="U8" s="182"/>
      <c r="V8" s="182"/>
      <c r="W8" s="263"/>
      <c r="X8" s="263"/>
      <c r="Y8" s="263"/>
      <c r="Z8" s="263"/>
      <c r="AA8" s="263"/>
      <c r="AB8" s="263"/>
      <c r="AC8" s="263"/>
      <c r="AD8" s="263"/>
    </row>
    <row r="9" spans="1:30">
      <c r="A9" s="177">
        <v>2</v>
      </c>
      <c r="B9" s="16" t="str">
        <f>HLOOKUP(Language!$C$3,Language!$E$1:$Z464,6,FALSE)</f>
        <v>Power Supply 2</v>
      </c>
      <c r="C9" s="178" t="str">
        <f>HLOOKUP(Language!$C$3,Language!$E$1:$Z503,40,FALSE)</f>
        <v>24-48 Vdc</v>
      </c>
      <c r="D9" s="178">
        <v>1</v>
      </c>
      <c r="E9" s="178"/>
      <c r="F9" s="178" t="s">
        <v>40</v>
      </c>
      <c r="G9" s="178" t="str">
        <f>HLOOKUP(Language!$C$3,Language!$E$1:$Z503,40,FALSE)</f>
        <v>24-48 Vdc</v>
      </c>
      <c r="H9" s="178">
        <v>1</v>
      </c>
      <c r="I9" s="178"/>
      <c r="J9" s="178" t="s">
        <v>40</v>
      </c>
      <c r="K9" s="178" t="str">
        <f>HLOOKUP(Language!$C$3,Language!$E$1:$Z503,40,FALSE)</f>
        <v>24-48 Vdc</v>
      </c>
      <c r="L9" s="178">
        <v>1</v>
      </c>
      <c r="M9" s="178"/>
      <c r="N9" s="178" t="s">
        <v>40</v>
      </c>
      <c r="O9" s="178" t="str">
        <f>HLOOKUP(Language!$C$3,Language!$E$1:$Z503,40,FALSE)</f>
        <v>24-48 Vdc</v>
      </c>
      <c r="P9" s="178">
        <v>1</v>
      </c>
      <c r="Q9" s="178"/>
      <c r="R9" s="178" t="s">
        <v>40</v>
      </c>
      <c r="S9" s="178" t="str">
        <f>HLOOKUP(Language!$C$3,Language!$E$1:$Z503,40,FALSE)</f>
        <v>24-48 Vdc</v>
      </c>
      <c r="T9" s="178">
        <v>1</v>
      </c>
      <c r="U9" s="178"/>
      <c r="V9" s="178" t="s">
        <v>40</v>
      </c>
      <c r="W9" s="261" t="str">
        <f>HLOOKUP(Language!$C$3,Language!$E$1:$Z503,40,FALSE)</f>
        <v>24-48 Vdc</v>
      </c>
      <c r="X9" s="261">
        <v>1</v>
      </c>
      <c r="Y9" s="261"/>
      <c r="Z9" s="261" t="s">
        <v>40</v>
      </c>
      <c r="AA9" s="261" t="str">
        <f>HLOOKUP(Language!$C$3,Language!$E$1:$Z503,40,FALSE)</f>
        <v>24-48 Vdc</v>
      </c>
      <c r="AB9" s="261">
        <v>1</v>
      </c>
      <c r="AC9" s="261"/>
      <c r="AD9" s="261" t="s">
        <v>40</v>
      </c>
    </row>
    <row r="10" spans="1:30">
      <c r="A10" s="179"/>
      <c r="B10" s="17"/>
      <c r="C10" s="180" t="str">
        <f>HLOOKUP(Language!$C$3,Language!$E$1:$Z499,7,FALSE)</f>
        <v>100-250 Vdc / 110-240 Vac</v>
      </c>
      <c r="D10" s="180">
        <v>3</v>
      </c>
      <c r="E10" s="180"/>
      <c r="F10" s="180" t="s">
        <v>40</v>
      </c>
      <c r="G10" s="180" t="str">
        <f>HLOOKUP(Language!$C$3,Language!$E$1:$Z499,7,FALSE)</f>
        <v>100-250 Vdc / 110-240 Vac</v>
      </c>
      <c r="H10" s="180">
        <v>3</v>
      </c>
      <c r="I10" s="180"/>
      <c r="J10" s="180" t="s">
        <v>40</v>
      </c>
      <c r="K10" s="180" t="str">
        <f>HLOOKUP(Language!$C$3,Language!$E$1:$Z499,7,FALSE)</f>
        <v>100-250 Vdc / 110-240 Vac</v>
      </c>
      <c r="L10" s="180">
        <v>3</v>
      </c>
      <c r="M10" s="180"/>
      <c r="N10" s="180" t="s">
        <v>40</v>
      </c>
      <c r="O10" s="180" t="str">
        <f>HLOOKUP(Language!$C$3,Language!$E$1:$Z499,7,FALSE)</f>
        <v>100-250 Vdc / 110-240 Vac</v>
      </c>
      <c r="P10" s="180">
        <v>3</v>
      </c>
      <c r="Q10" s="180"/>
      <c r="R10" s="180" t="s">
        <v>40</v>
      </c>
      <c r="S10" s="180" t="str">
        <f>HLOOKUP(Language!$C$3,Language!$E$1:$Z499,7,FALSE)</f>
        <v>100-250 Vdc / 110-240 Vac</v>
      </c>
      <c r="T10" s="180">
        <v>3</v>
      </c>
      <c r="U10" s="180"/>
      <c r="V10" s="180" t="s">
        <v>40</v>
      </c>
      <c r="W10" s="262" t="str">
        <f>HLOOKUP(Language!$C$3,Language!$E$1:$Z499,7,FALSE)</f>
        <v>100-250 Vdc / 110-240 Vac</v>
      </c>
      <c r="X10" s="262">
        <v>3</v>
      </c>
      <c r="Y10" s="262"/>
      <c r="Z10" s="262" t="s">
        <v>40</v>
      </c>
      <c r="AA10" s="262" t="str">
        <f>HLOOKUP(Language!$C$3,Language!$E$1:$Z499,7,FALSE)</f>
        <v>100-250 Vdc / 110-240 Vac</v>
      </c>
      <c r="AB10" s="262">
        <v>3</v>
      </c>
      <c r="AC10" s="262"/>
      <c r="AD10" s="262" t="s">
        <v>40</v>
      </c>
    </row>
    <row r="11" spans="1:30">
      <c r="A11" s="179"/>
      <c r="B11" s="17"/>
      <c r="C11" s="180" t="str">
        <f>HLOOKUP(Language!$C$3,Language!$E$1:$Z467,8,FALSE)</f>
        <v>Not installed</v>
      </c>
      <c r="D11" s="180" t="s">
        <v>28</v>
      </c>
      <c r="E11" s="180"/>
      <c r="F11" s="180" t="s">
        <v>40</v>
      </c>
      <c r="G11" s="180" t="str">
        <f>HLOOKUP(Language!$C$3,Language!$E$1:$Z467,8,FALSE)</f>
        <v>Not installed</v>
      </c>
      <c r="H11" s="180" t="s">
        <v>28</v>
      </c>
      <c r="I11" s="180"/>
      <c r="J11" s="180" t="s">
        <v>40</v>
      </c>
      <c r="K11" s="180" t="str">
        <f>HLOOKUP(Language!$C$3,Language!$E$1:$Z467,8,FALSE)</f>
        <v>Not installed</v>
      </c>
      <c r="L11" s="180" t="s">
        <v>28</v>
      </c>
      <c r="M11" s="180"/>
      <c r="N11" s="180" t="s">
        <v>40</v>
      </c>
      <c r="O11" s="180" t="str">
        <f>HLOOKUP(Language!$C$3,Language!$E$1:$Z467,8,FALSE)</f>
        <v>Not installed</v>
      </c>
      <c r="P11" s="180" t="s">
        <v>28</v>
      </c>
      <c r="Q11" s="180"/>
      <c r="R11" s="180" t="s">
        <v>40</v>
      </c>
      <c r="S11" s="180" t="str">
        <f>HLOOKUP(Language!$C$3,Language!$E$1:$Z467,8,FALSE)</f>
        <v>Not installed</v>
      </c>
      <c r="T11" s="180" t="s">
        <v>28</v>
      </c>
      <c r="U11" s="180"/>
      <c r="V11" s="180" t="s">
        <v>40</v>
      </c>
      <c r="W11" s="262" t="str">
        <f>HLOOKUP(Language!$C$3,Language!$E$1:$Z467,8,FALSE)</f>
        <v>Not installed</v>
      </c>
      <c r="X11" s="262" t="s">
        <v>28</v>
      </c>
      <c r="Y11" s="262"/>
      <c r="Z11" s="262" t="s">
        <v>40</v>
      </c>
      <c r="AA11" s="262" t="str">
        <f>HLOOKUP(Language!$C$3,Language!$E$1:$Z467,8,FALSE)</f>
        <v>Not installed</v>
      </c>
      <c r="AB11" s="262" t="s">
        <v>28</v>
      </c>
      <c r="AC11" s="262"/>
      <c r="AD11" s="262" t="s">
        <v>40</v>
      </c>
    </row>
    <row r="12" spans="1:30">
      <c r="A12" s="181"/>
      <c r="B12" s="23"/>
      <c r="C12" s="182"/>
      <c r="D12" s="182"/>
      <c r="E12" s="182"/>
      <c r="F12" s="182"/>
      <c r="G12" s="182"/>
      <c r="H12" s="182"/>
      <c r="I12" s="182"/>
      <c r="J12" s="182"/>
      <c r="K12" s="182"/>
      <c r="L12" s="182"/>
      <c r="M12" s="182"/>
      <c r="N12" s="182"/>
      <c r="O12" s="182"/>
      <c r="P12" s="182"/>
      <c r="Q12" s="182"/>
      <c r="R12" s="182"/>
      <c r="S12" s="182"/>
      <c r="T12" s="182"/>
      <c r="U12" s="182"/>
      <c r="V12" s="182"/>
      <c r="W12" s="263"/>
      <c r="X12" s="263"/>
      <c r="Y12" s="263"/>
      <c r="Z12" s="263"/>
      <c r="AA12" s="263"/>
      <c r="AB12" s="263"/>
      <c r="AC12" s="263"/>
      <c r="AD12" s="263"/>
    </row>
    <row r="13" spans="1:30">
      <c r="A13" s="177">
        <v>3</v>
      </c>
      <c r="B13" s="16" t="str">
        <f>HLOOKUP(Language!$C$3,Language!$E$1:$Z468,43,FALSE)</f>
        <v>Mounting Options</v>
      </c>
      <c r="C13" s="178" t="str">
        <f>HLOOKUP(Language!$C$3,Language!$E$1:$Z470,44,FALSE)</f>
        <v>19” Rack Mount / Rear Mount</v>
      </c>
      <c r="D13" s="178" t="s">
        <v>82</v>
      </c>
      <c r="E13" s="178"/>
      <c r="F13" s="178" t="s">
        <v>40</v>
      </c>
      <c r="G13" s="178" t="str">
        <f>HLOOKUP(Language!$C$3,Language!$E$1:$Z470,44,FALSE)</f>
        <v>19” Rack Mount / Rear Mount</v>
      </c>
      <c r="H13" s="178" t="s">
        <v>82</v>
      </c>
      <c r="I13" s="178"/>
      <c r="J13" s="178" t="s">
        <v>40</v>
      </c>
      <c r="K13" s="178" t="str">
        <f>HLOOKUP(Language!$C$3,Language!$E$1:$Z470,44,FALSE)</f>
        <v>19” Rack Mount / Rear Mount</v>
      </c>
      <c r="L13" s="178" t="s">
        <v>82</v>
      </c>
      <c r="M13" s="178"/>
      <c r="N13" s="178" t="s">
        <v>40</v>
      </c>
      <c r="O13" s="178" t="str">
        <f>HLOOKUP(Language!$C$3,Language!$E$1:$Z470,44,FALSE)</f>
        <v>19” Rack Mount / Rear Mount</v>
      </c>
      <c r="P13" s="178" t="s">
        <v>82</v>
      </c>
      <c r="Q13" s="178"/>
      <c r="R13" s="178" t="s">
        <v>40</v>
      </c>
      <c r="S13" s="178" t="str">
        <f>HLOOKUP(Language!$C$3,Language!$E$1:$Z470,44,FALSE)</f>
        <v>19” Rack Mount / Rear Mount</v>
      </c>
      <c r="T13" s="178" t="s">
        <v>82</v>
      </c>
      <c r="U13" s="178"/>
      <c r="V13" s="178" t="s">
        <v>40</v>
      </c>
      <c r="W13" s="261" t="str">
        <f>HLOOKUP(Language!$C$3,Language!$E$1:$Z470,44,FALSE)</f>
        <v>19” Rack Mount / Rear Mount</v>
      </c>
      <c r="X13" s="261" t="s">
        <v>82</v>
      </c>
      <c r="Y13" s="261"/>
      <c r="Z13" s="261" t="s">
        <v>40</v>
      </c>
      <c r="AA13" s="261" t="str">
        <f>HLOOKUP(Language!$C$3,Language!$E$1:$Z470,44,FALSE)</f>
        <v>19” Rack Mount / Rear Mount</v>
      </c>
      <c r="AB13" s="261" t="s">
        <v>82</v>
      </c>
      <c r="AC13" s="261"/>
      <c r="AD13" s="261" t="s">
        <v>40</v>
      </c>
    </row>
    <row r="14" spans="1:30">
      <c r="A14" s="179"/>
      <c r="B14" s="17"/>
      <c r="C14" s="180"/>
      <c r="D14" s="180"/>
      <c r="E14" s="180"/>
      <c r="F14" s="180"/>
      <c r="G14" s="180"/>
      <c r="H14" s="180"/>
      <c r="I14" s="180"/>
      <c r="J14" s="180"/>
      <c r="K14" s="180"/>
      <c r="L14" s="180"/>
      <c r="M14" s="180"/>
      <c r="N14" s="180"/>
      <c r="O14" s="180"/>
      <c r="P14" s="180"/>
      <c r="Q14" s="180"/>
      <c r="R14" s="180"/>
      <c r="S14" s="180"/>
      <c r="T14" s="180"/>
      <c r="U14" s="180"/>
      <c r="V14" s="180"/>
      <c r="W14" s="262"/>
      <c r="X14" s="262"/>
      <c r="Y14" s="262"/>
      <c r="Z14" s="262"/>
      <c r="AA14" s="262"/>
      <c r="AB14" s="262"/>
      <c r="AC14" s="262"/>
      <c r="AD14" s="262"/>
    </row>
    <row r="15" spans="1:30">
      <c r="A15" s="181"/>
      <c r="B15" s="23"/>
      <c r="C15" s="182"/>
      <c r="D15" s="182"/>
      <c r="E15" s="182"/>
      <c r="F15" s="182"/>
      <c r="G15" s="182"/>
      <c r="H15" s="182"/>
      <c r="I15" s="182"/>
      <c r="J15" s="182"/>
      <c r="K15" s="182"/>
      <c r="L15" s="182"/>
      <c r="M15" s="182"/>
      <c r="N15" s="182"/>
      <c r="O15" s="182"/>
      <c r="P15" s="182"/>
      <c r="Q15" s="182"/>
      <c r="R15" s="182"/>
      <c r="S15" s="182"/>
      <c r="T15" s="182"/>
      <c r="U15" s="182"/>
      <c r="V15" s="182"/>
      <c r="W15" s="263"/>
      <c r="X15" s="263"/>
      <c r="Y15" s="263"/>
      <c r="Z15" s="263"/>
      <c r="AA15" s="263"/>
      <c r="AB15" s="263"/>
      <c r="AC15" s="263"/>
      <c r="AD15" s="263"/>
    </row>
    <row r="16" spans="1:30">
      <c r="A16" s="177">
        <v>4</v>
      </c>
      <c r="B16" s="16" t="str">
        <f>HLOOKUP(Language!$C$3,Language!$E$1:$Z490,9,FALSE)</f>
        <v>Interface Module 1</v>
      </c>
      <c r="C16" s="178" t="str">
        <f>HLOOKUP(Language!$C$3,Language!$E$1:$Z492,14,FALSE)</f>
        <v>Four 1 Gbps RJ45 copper 10/100BASE-TX/1000BASE-T Ethernet ports</v>
      </c>
      <c r="D16" s="178" t="s">
        <v>26</v>
      </c>
      <c r="E16" s="178"/>
      <c r="F16" s="178" t="s">
        <v>40</v>
      </c>
      <c r="G16" s="178" t="str">
        <f>HLOOKUP(Language!$C$3,Language!$E$1:$Z492,14,FALSE)</f>
        <v>Four 1 Gbps RJ45 copper 10/100BASE-TX/1000BASE-T Ethernet ports</v>
      </c>
      <c r="H16" s="178" t="s">
        <v>26</v>
      </c>
      <c r="I16" s="178"/>
      <c r="J16" s="178" t="s">
        <v>40</v>
      </c>
      <c r="K16" s="178" t="str">
        <f>HLOOKUP(Language!$C$3,Language!$E$1:$Z492,14,FALSE)</f>
        <v>Four 1 Gbps RJ45 copper 10/100BASE-TX/1000BASE-T Ethernet ports</v>
      </c>
      <c r="L16" s="178" t="s">
        <v>26</v>
      </c>
      <c r="M16" s="178"/>
      <c r="N16" s="178" t="s">
        <v>40</v>
      </c>
      <c r="O16" s="178" t="str">
        <f>HLOOKUP(Language!$C$3,Language!$E$1:$Z492,14,FALSE)</f>
        <v>Four 1 Gbps RJ45 copper 10/100BASE-TX/1000BASE-T Ethernet ports</v>
      </c>
      <c r="P16" s="178" t="s">
        <v>26</v>
      </c>
      <c r="Q16" s="178"/>
      <c r="R16" s="178" t="s">
        <v>40</v>
      </c>
      <c r="S16" s="178" t="str">
        <f>HLOOKUP(Language!$C$3,Language!$E$1:$Z492,14,FALSE)</f>
        <v>Four 1 Gbps RJ45 copper 10/100BASE-TX/1000BASE-T Ethernet ports</v>
      </c>
      <c r="T16" s="178" t="s">
        <v>26</v>
      </c>
      <c r="U16" s="178"/>
      <c r="V16" s="178" t="s">
        <v>40</v>
      </c>
      <c r="W16" s="261" t="str">
        <f>HLOOKUP(Language!$C$3,Language!$E$1:$Z492,14,FALSE)</f>
        <v>Four 1 Gbps RJ45 copper 10/100BASE-TX/1000BASE-T Ethernet ports</v>
      </c>
      <c r="X16" s="261" t="s">
        <v>26</v>
      </c>
      <c r="Y16" s="261"/>
      <c r="Z16" s="261" t="s">
        <v>40</v>
      </c>
      <c r="AA16" s="261" t="str">
        <f>HLOOKUP(Language!$C$3,Language!$E$1:$Z492,14,FALSE)</f>
        <v>Four 1 Gbps RJ45 copper 10/100BASE-TX/1000BASE-T Ethernet ports</v>
      </c>
      <c r="AB16" s="261" t="s">
        <v>26</v>
      </c>
      <c r="AC16" s="261"/>
      <c r="AD16" s="261" t="s">
        <v>40</v>
      </c>
    </row>
    <row r="17" spans="1:30">
      <c r="A17" s="179"/>
      <c r="B17" s="17"/>
      <c r="C17" s="180" t="str">
        <f>HLOOKUP(Language!$C$3,Language!$E$1:$Z493,15,FALSE)</f>
        <v>Four slots for SFP transceivers</v>
      </c>
      <c r="D17" s="180" t="s">
        <v>27</v>
      </c>
      <c r="E17" s="180"/>
      <c r="F17" s="180" t="s">
        <v>40</v>
      </c>
      <c r="G17" s="180" t="str">
        <f>HLOOKUP(Language!$C$3,Language!$E$1:$Z493,15,FALSE)</f>
        <v>Four slots for SFP transceivers</v>
      </c>
      <c r="H17" s="180" t="s">
        <v>27</v>
      </c>
      <c r="I17" s="180"/>
      <c r="J17" s="180" t="s">
        <v>40</v>
      </c>
      <c r="K17" s="180" t="str">
        <f>HLOOKUP(Language!$C$3,Language!$E$1:$Z493,15,FALSE)</f>
        <v>Four slots for SFP transceivers</v>
      </c>
      <c r="L17" s="180" t="s">
        <v>27</v>
      </c>
      <c r="M17" s="180"/>
      <c r="N17" s="180" t="s">
        <v>40</v>
      </c>
      <c r="O17" s="180" t="str">
        <f>HLOOKUP(Language!$C$3,Language!$E$1:$Z493,15,FALSE)</f>
        <v>Four slots for SFP transceivers</v>
      </c>
      <c r="P17" s="180" t="s">
        <v>27</v>
      </c>
      <c r="Q17" s="180"/>
      <c r="R17" s="180" t="s">
        <v>40</v>
      </c>
      <c r="S17" s="180" t="str">
        <f>HLOOKUP(Language!$C$3,Language!$E$1:$Z493,15,FALSE)</f>
        <v>Four slots for SFP transceivers</v>
      </c>
      <c r="T17" s="180" t="s">
        <v>27</v>
      </c>
      <c r="U17" s="180"/>
      <c r="V17" s="180" t="s">
        <v>40</v>
      </c>
      <c r="W17" s="262" t="str">
        <f>HLOOKUP(Language!$C$3,Language!$E$1:$Z493,15,FALSE)</f>
        <v>Four slots for SFP transceivers</v>
      </c>
      <c r="X17" s="262" t="s">
        <v>27</v>
      </c>
      <c r="Y17" s="262"/>
      <c r="Z17" s="262" t="s">
        <v>40</v>
      </c>
      <c r="AA17" s="262" t="str">
        <f>HLOOKUP(Language!$C$3,Language!$E$1:$Z493,15,FALSE)</f>
        <v>Four slots for SFP transceivers</v>
      </c>
      <c r="AB17" s="262" t="s">
        <v>27</v>
      </c>
      <c r="AC17" s="262"/>
      <c r="AD17" s="262" t="s">
        <v>40</v>
      </c>
    </row>
    <row r="18" spans="1:30">
      <c r="A18" s="179"/>
      <c r="B18" s="17"/>
      <c r="C18" s="180" t="str">
        <f>HLOOKUP(Language!$C$3,Language!$E$1:$Z494,16,FALSE)</f>
        <v>Four 1 Gbps LC-type connector multi mode fiber 1000BASE-SX Ethernet for up to 0.5 km</v>
      </c>
      <c r="D18" s="180" t="s">
        <v>29</v>
      </c>
      <c r="E18" s="180"/>
      <c r="F18" s="180" t="s">
        <v>40</v>
      </c>
      <c r="G18" s="180" t="str">
        <f>HLOOKUP(Language!$C$3,Language!$E$1:$Z494,16,FALSE)</f>
        <v>Four 1 Gbps LC-type connector multi mode fiber 1000BASE-SX Ethernet for up to 0.5 km</v>
      </c>
      <c r="H18" s="180" t="s">
        <v>29</v>
      </c>
      <c r="I18" s="180"/>
      <c r="J18" s="180" t="s">
        <v>40</v>
      </c>
      <c r="K18" s="180" t="str">
        <f>HLOOKUP(Language!$C$3,Language!$E$1:$Z494,16,FALSE)</f>
        <v>Four 1 Gbps LC-type connector multi mode fiber 1000BASE-SX Ethernet for up to 0.5 km</v>
      </c>
      <c r="L18" s="180" t="s">
        <v>29</v>
      </c>
      <c r="M18" s="180"/>
      <c r="N18" s="180" t="s">
        <v>40</v>
      </c>
      <c r="O18" s="180" t="str">
        <f>HLOOKUP(Language!$C$3,Language!$E$1:$Z494,16,FALSE)</f>
        <v>Four 1 Gbps LC-type connector multi mode fiber 1000BASE-SX Ethernet for up to 0.5 km</v>
      </c>
      <c r="P18" s="180" t="s">
        <v>29</v>
      </c>
      <c r="Q18" s="180"/>
      <c r="R18" s="180" t="s">
        <v>40</v>
      </c>
      <c r="S18" s="180" t="str">
        <f>HLOOKUP(Language!$C$3,Language!$E$1:$Z494,16,FALSE)</f>
        <v>Four 1 Gbps LC-type connector multi mode fiber 1000BASE-SX Ethernet for up to 0.5 km</v>
      </c>
      <c r="T18" s="180" t="s">
        <v>29</v>
      </c>
      <c r="U18" s="180"/>
      <c r="V18" s="180" t="s">
        <v>40</v>
      </c>
      <c r="W18" s="262" t="str">
        <f>HLOOKUP(Language!$C$3,Language!$E$1:$Z494,16,FALSE)</f>
        <v>Four 1 Gbps LC-type connector multi mode fiber 1000BASE-SX Ethernet for up to 0.5 km</v>
      </c>
      <c r="X18" s="262" t="s">
        <v>29</v>
      </c>
      <c r="Y18" s="262"/>
      <c r="Z18" s="262" t="s">
        <v>40</v>
      </c>
      <c r="AA18" s="262" t="str">
        <f>HLOOKUP(Language!$C$3,Language!$E$1:$Z494,16,FALSE)</f>
        <v>Four 1 Gbps LC-type connector multi mode fiber 1000BASE-SX Ethernet for up to 0.5 km</v>
      </c>
      <c r="AB18" s="262" t="s">
        <v>29</v>
      </c>
      <c r="AC18" s="262"/>
      <c r="AD18" s="262" t="s">
        <v>40</v>
      </c>
    </row>
    <row r="19" spans="1:30">
      <c r="A19" s="179"/>
      <c r="B19" s="17"/>
      <c r="C19" s="180" t="str">
        <f>HLOOKUP(Language!$C$3,Language!$E$1:$Z495,17,FALSE)</f>
        <v>Four 1 Gbps LC-type connector single mode fiber 1000BASE-LX Ethernet for up to 10 km</v>
      </c>
      <c r="D19" s="180" t="s">
        <v>30</v>
      </c>
      <c r="E19" s="180"/>
      <c r="F19" s="180" t="s">
        <v>40</v>
      </c>
      <c r="G19" s="180" t="str">
        <f>HLOOKUP(Language!$C$3,Language!$E$1:$Z495,17,FALSE)</f>
        <v>Four 1 Gbps LC-type connector single mode fiber 1000BASE-LX Ethernet for up to 10 km</v>
      </c>
      <c r="H19" s="180" t="s">
        <v>30</v>
      </c>
      <c r="I19" s="180"/>
      <c r="J19" s="180" t="s">
        <v>40</v>
      </c>
      <c r="K19" s="180" t="str">
        <f>HLOOKUP(Language!$C$3,Language!$E$1:$Z495,17,FALSE)</f>
        <v>Four 1 Gbps LC-type connector single mode fiber 1000BASE-LX Ethernet for up to 10 km</v>
      </c>
      <c r="L19" s="180" t="s">
        <v>30</v>
      </c>
      <c r="M19" s="180"/>
      <c r="N19" s="180" t="s">
        <v>40</v>
      </c>
      <c r="O19" s="180" t="str">
        <f>HLOOKUP(Language!$C$3,Language!$E$1:$Z495,17,FALSE)</f>
        <v>Four 1 Gbps LC-type connector single mode fiber 1000BASE-LX Ethernet for up to 10 km</v>
      </c>
      <c r="P19" s="180" t="s">
        <v>30</v>
      </c>
      <c r="Q19" s="180"/>
      <c r="R19" s="180" t="s">
        <v>40</v>
      </c>
      <c r="S19" s="180" t="str">
        <f>HLOOKUP(Language!$C$3,Language!$E$1:$Z495,17,FALSE)</f>
        <v>Four 1 Gbps LC-type connector single mode fiber 1000BASE-LX Ethernet for up to 10 km</v>
      </c>
      <c r="T19" s="180" t="s">
        <v>30</v>
      </c>
      <c r="U19" s="180"/>
      <c r="V19" s="180" t="s">
        <v>40</v>
      </c>
      <c r="W19" s="262" t="str">
        <f>HLOOKUP(Language!$C$3,Language!$E$1:$Z495,17,FALSE)</f>
        <v>Four 1 Gbps LC-type connector single mode fiber 1000BASE-LX Ethernet for up to 10 km</v>
      </c>
      <c r="X19" s="262" t="s">
        <v>30</v>
      </c>
      <c r="Y19" s="262"/>
      <c r="Z19" s="262" t="s">
        <v>40</v>
      </c>
      <c r="AA19" s="262" t="str">
        <f>HLOOKUP(Language!$C$3,Language!$E$1:$Z495,17,FALSE)</f>
        <v>Four 1 Gbps LC-type connector single mode fiber 1000BASE-LX Ethernet for up to 10 km</v>
      </c>
      <c r="AB19" s="262" t="s">
        <v>30</v>
      </c>
      <c r="AC19" s="262"/>
      <c r="AD19" s="262" t="s">
        <v>40</v>
      </c>
    </row>
    <row r="20" spans="1:30">
      <c r="A20" s="179"/>
      <c r="B20" s="17"/>
      <c r="C20" s="180" t="str">
        <f>HLOOKUP(Language!$C$3,Language!$E$1:$Z496,18,FALSE)</f>
        <v>Four 1 Gbps LC-type connector single mode fiber 1000BASE-ZX Ethernet for up to 40 km</v>
      </c>
      <c r="D20" s="180" t="s">
        <v>41</v>
      </c>
      <c r="E20" s="180"/>
      <c r="F20" s="180" t="s">
        <v>40</v>
      </c>
      <c r="G20" s="180" t="str">
        <f>HLOOKUP(Language!$C$3,Language!$E$1:$Z496,18,FALSE)</f>
        <v>Four 1 Gbps LC-type connector single mode fiber 1000BASE-ZX Ethernet for up to 40 km</v>
      </c>
      <c r="H20" s="180" t="s">
        <v>41</v>
      </c>
      <c r="I20" s="180"/>
      <c r="J20" s="180" t="s">
        <v>40</v>
      </c>
      <c r="K20" s="180" t="str">
        <f>HLOOKUP(Language!$C$3,Language!$E$1:$Z496,18,FALSE)</f>
        <v>Four 1 Gbps LC-type connector single mode fiber 1000BASE-ZX Ethernet for up to 40 km</v>
      </c>
      <c r="L20" s="180" t="s">
        <v>41</v>
      </c>
      <c r="M20" s="180"/>
      <c r="N20" s="180" t="s">
        <v>40</v>
      </c>
      <c r="O20" s="180" t="str">
        <f>HLOOKUP(Language!$C$3,Language!$E$1:$Z496,18,FALSE)</f>
        <v>Four 1 Gbps LC-type connector single mode fiber 1000BASE-ZX Ethernet for up to 40 km</v>
      </c>
      <c r="P20" s="180" t="s">
        <v>41</v>
      </c>
      <c r="Q20" s="180"/>
      <c r="R20" s="180" t="s">
        <v>40</v>
      </c>
      <c r="S20" s="180" t="str">
        <f>HLOOKUP(Language!$C$3,Language!$E$1:$Z496,18,FALSE)</f>
        <v>Four 1 Gbps LC-type connector single mode fiber 1000BASE-ZX Ethernet for up to 40 km</v>
      </c>
      <c r="T20" s="180" t="s">
        <v>41</v>
      </c>
      <c r="U20" s="180"/>
      <c r="V20" s="180" t="s">
        <v>40</v>
      </c>
      <c r="W20" s="262" t="str">
        <f>HLOOKUP(Language!$C$3,Language!$E$1:$Z496,18,FALSE)</f>
        <v>Four 1 Gbps LC-type connector single mode fiber 1000BASE-ZX Ethernet for up to 40 km</v>
      </c>
      <c r="X20" s="262" t="s">
        <v>41</v>
      </c>
      <c r="Y20" s="262"/>
      <c r="Z20" s="262" t="s">
        <v>40</v>
      </c>
      <c r="AA20" s="262" t="str">
        <f>HLOOKUP(Language!$C$3,Language!$E$1:$Z496,18,FALSE)</f>
        <v>Four 1 Gbps LC-type connector single mode fiber 1000BASE-ZX Ethernet for up to 40 km</v>
      </c>
      <c r="AB20" s="262" t="s">
        <v>41</v>
      </c>
      <c r="AC20" s="262"/>
      <c r="AD20" s="262" t="s">
        <v>40</v>
      </c>
    </row>
    <row r="21" spans="1:30">
      <c r="A21" s="179"/>
      <c r="B21" s="17"/>
      <c r="C21" s="180" t="str">
        <f>HLOOKUP(Language!$C$3,Language!$E$1:$Z497,19,FALSE)</f>
        <v>Four 1 Gbps LC-type connector single mode fiber 1000BASE-ZX Ethernet for up to 80 km</v>
      </c>
      <c r="D21" s="180" t="s">
        <v>42</v>
      </c>
      <c r="E21" s="180"/>
      <c r="F21" s="180" t="s">
        <v>40</v>
      </c>
      <c r="G21" s="180" t="str">
        <f>HLOOKUP(Language!$C$3,Language!$E$1:$Z497,19,FALSE)</f>
        <v>Four 1 Gbps LC-type connector single mode fiber 1000BASE-ZX Ethernet for up to 80 km</v>
      </c>
      <c r="H21" s="180" t="s">
        <v>42</v>
      </c>
      <c r="I21" s="180"/>
      <c r="J21" s="180" t="s">
        <v>40</v>
      </c>
      <c r="K21" s="180" t="str">
        <f>HLOOKUP(Language!$C$3,Language!$E$1:$Z497,19,FALSE)</f>
        <v>Four 1 Gbps LC-type connector single mode fiber 1000BASE-ZX Ethernet for up to 80 km</v>
      </c>
      <c r="L21" s="180" t="s">
        <v>42</v>
      </c>
      <c r="M21" s="180"/>
      <c r="N21" s="180" t="s">
        <v>40</v>
      </c>
      <c r="O21" s="180" t="str">
        <f>HLOOKUP(Language!$C$3,Language!$E$1:$Z497,19,FALSE)</f>
        <v>Four 1 Gbps LC-type connector single mode fiber 1000BASE-ZX Ethernet for up to 80 km</v>
      </c>
      <c r="P21" s="180" t="s">
        <v>42</v>
      </c>
      <c r="Q21" s="180"/>
      <c r="R21" s="180" t="s">
        <v>40</v>
      </c>
      <c r="S21" s="180" t="str">
        <f>HLOOKUP(Language!$C$3,Language!$E$1:$Z497,19,FALSE)</f>
        <v>Four 1 Gbps LC-type connector single mode fiber 1000BASE-ZX Ethernet for up to 80 km</v>
      </c>
      <c r="T21" s="180" t="s">
        <v>42</v>
      </c>
      <c r="U21" s="180"/>
      <c r="V21" s="180" t="s">
        <v>40</v>
      </c>
      <c r="W21" s="262" t="str">
        <f>HLOOKUP(Language!$C$3,Language!$E$1:$Z497,19,FALSE)</f>
        <v>Four 1 Gbps LC-type connector single mode fiber 1000BASE-ZX Ethernet for up to 80 km</v>
      </c>
      <c r="X21" s="262" t="s">
        <v>42</v>
      </c>
      <c r="Y21" s="262"/>
      <c r="Z21" s="262" t="s">
        <v>40</v>
      </c>
      <c r="AA21" s="262" t="str">
        <f>HLOOKUP(Language!$C$3,Language!$E$1:$Z497,19,FALSE)</f>
        <v>Four 1 Gbps LC-type connector single mode fiber 1000BASE-ZX Ethernet for up to 80 km</v>
      </c>
      <c r="AB21" s="262" t="s">
        <v>42</v>
      </c>
      <c r="AC21" s="262"/>
      <c r="AD21" s="262" t="s">
        <v>40</v>
      </c>
    </row>
    <row r="22" spans="1:30">
      <c r="A22" s="179"/>
      <c r="B22" s="17"/>
      <c r="C22" s="180" t="str">
        <f>HLOOKUP(Language!$C$3,Language!$E$1:$Z498,20,FALSE)</f>
        <v>Four 100 Mbps LC-type connector multi mode fiber 100BASE-FX Ethernet for up to 2 km</v>
      </c>
      <c r="D22" s="180" t="s">
        <v>43</v>
      </c>
      <c r="E22" s="180"/>
      <c r="F22" s="180" t="s">
        <v>40</v>
      </c>
      <c r="G22" s="180" t="str">
        <f>HLOOKUP(Language!$C$3,Language!$E$1:$Z498,20,FALSE)</f>
        <v>Four 100 Mbps LC-type connector multi mode fiber 100BASE-FX Ethernet for up to 2 km</v>
      </c>
      <c r="H22" s="180" t="s">
        <v>43</v>
      </c>
      <c r="I22" s="180"/>
      <c r="J22" s="180" t="s">
        <v>40</v>
      </c>
      <c r="K22" s="180" t="str">
        <f>HLOOKUP(Language!$C$3,Language!$E$1:$Z498,20,FALSE)</f>
        <v>Four 100 Mbps LC-type connector multi mode fiber 100BASE-FX Ethernet for up to 2 km</v>
      </c>
      <c r="L22" s="180" t="s">
        <v>43</v>
      </c>
      <c r="M22" s="180"/>
      <c r="N22" s="180" t="s">
        <v>40</v>
      </c>
      <c r="O22" s="180" t="str">
        <f>HLOOKUP(Language!$C$3,Language!$E$1:$Z498,20,FALSE)</f>
        <v>Four 100 Mbps LC-type connector multi mode fiber 100BASE-FX Ethernet for up to 2 km</v>
      </c>
      <c r="P22" s="180" t="s">
        <v>43</v>
      </c>
      <c r="Q22" s="180"/>
      <c r="R22" s="180" t="s">
        <v>40</v>
      </c>
      <c r="S22" s="180" t="str">
        <f>HLOOKUP(Language!$C$3,Language!$E$1:$Z498,20,FALSE)</f>
        <v>Four 100 Mbps LC-type connector multi mode fiber 100BASE-FX Ethernet for up to 2 km</v>
      </c>
      <c r="T22" s="180" t="s">
        <v>43</v>
      </c>
      <c r="U22" s="180"/>
      <c r="V22" s="180" t="s">
        <v>40</v>
      </c>
      <c r="W22" s="262" t="str">
        <f>HLOOKUP(Language!$C$3,Language!$E$1:$Z498,20,FALSE)</f>
        <v>Four 100 Mbps LC-type connector multi mode fiber 100BASE-FX Ethernet for up to 2 km</v>
      </c>
      <c r="X22" s="262" t="s">
        <v>43</v>
      </c>
      <c r="Y22" s="262"/>
      <c r="Z22" s="262" t="s">
        <v>40</v>
      </c>
      <c r="AA22" s="262" t="str">
        <f>HLOOKUP(Language!$C$3,Language!$E$1:$Z498,20,FALSE)</f>
        <v>Four 100 Mbps LC-type connector multi mode fiber 100BASE-FX Ethernet for up to 2 km</v>
      </c>
      <c r="AB22" s="262" t="s">
        <v>43</v>
      </c>
      <c r="AC22" s="262"/>
      <c r="AD22" s="262" t="s">
        <v>40</v>
      </c>
    </row>
    <row r="23" spans="1:30">
      <c r="A23" s="179"/>
      <c r="B23" s="17"/>
      <c r="C23" s="180" t="str">
        <f>HLOOKUP(Language!$C$3,Language!$E$1:$Z499,21,FALSE)</f>
        <v>Four RJ45 copper 10/100BASE-TX</v>
      </c>
      <c r="D23" s="180" t="s">
        <v>120</v>
      </c>
      <c r="E23" s="180"/>
      <c r="F23" s="180" t="s">
        <v>40</v>
      </c>
      <c r="G23" s="180" t="str">
        <f>HLOOKUP(Language!$C$3,Language!$E$1:$Z477,22,FALSE)</f>
        <v>Not installed</v>
      </c>
      <c r="H23" s="180" t="s">
        <v>28</v>
      </c>
      <c r="I23" s="180"/>
      <c r="J23" s="180" t="s">
        <v>40</v>
      </c>
      <c r="K23" s="180" t="str">
        <f>HLOOKUP(Language!$C$3,Language!$E$1:$Z499,21,FALSE)</f>
        <v>Four RJ45 copper 10/100BASE-TX</v>
      </c>
      <c r="L23" s="180" t="s">
        <v>120</v>
      </c>
      <c r="M23" s="180"/>
      <c r="N23" s="180" t="s">
        <v>40</v>
      </c>
      <c r="O23" s="180" t="str">
        <f>HLOOKUP(Language!$C$3,Language!$E$1:$Z499,21,FALSE)</f>
        <v>Four RJ45 copper 10/100BASE-TX</v>
      </c>
      <c r="P23" s="180" t="s">
        <v>120</v>
      </c>
      <c r="Q23" s="180"/>
      <c r="R23" s="180" t="s">
        <v>40</v>
      </c>
      <c r="S23" s="180" t="str">
        <f>HLOOKUP(Language!$C$3,Language!$E$1:$Z499,21,FALSE)</f>
        <v>Four RJ45 copper 10/100BASE-TX</v>
      </c>
      <c r="T23" s="180" t="s">
        <v>120</v>
      </c>
      <c r="U23" s="180"/>
      <c r="V23" s="180" t="s">
        <v>40</v>
      </c>
      <c r="W23" s="262" t="str">
        <f>HLOOKUP(Language!$C$3,Language!$E$1:$Z499,21,FALSE)</f>
        <v>Four RJ45 copper 10/100BASE-TX</v>
      </c>
      <c r="X23" s="262" t="s">
        <v>120</v>
      </c>
      <c r="Y23" s="262"/>
      <c r="Z23" s="262" t="s">
        <v>40</v>
      </c>
      <c r="AA23" s="262" t="str">
        <f>HLOOKUP(Language!$C$3,Language!$E$1:$Z499,21,FALSE)</f>
        <v>Four RJ45 copper 10/100BASE-TX</v>
      </c>
      <c r="AB23" s="262" t="s">
        <v>120</v>
      </c>
      <c r="AC23" s="262"/>
      <c r="AD23" s="262" t="s">
        <v>40</v>
      </c>
    </row>
    <row r="24" spans="1:30" ht="24">
      <c r="A24" s="179"/>
      <c r="B24" s="17"/>
      <c r="C24" s="192" t="str">
        <f>HLOOKUP(Language!$C$3,Language!$E$1:$Z499,49,FALSE)</f>
        <v>Four 1 Gbps RJ45 SFP Transceivers 10/100BASE-TX/1000BASE-T Ethernet ports (Not CE marked)</v>
      </c>
      <c r="D24" s="180" t="s">
        <v>114</v>
      </c>
      <c r="E24" s="180"/>
      <c r="F24" s="180" t="s">
        <v>40</v>
      </c>
      <c r="G24" s="180"/>
      <c r="H24" s="180"/>
      <c r="I24" s="180"/>
      <c r="J24" s="180" t="s">
        <v>40</v>
      </c>
      <c r="K24" s="192" t="str">
        <f>HLOOKUP(Language!$C$3,Language!$E$1:$Z499,49,FALSE)</f>
        <v>Four 1 Gbps RJ45 SFP Transceivers 10/100BASE-TX/1000BASE-T Ethernet ports (Not CE marked)</v>
      </c>
      <c r="L24" s="180" t="s">
        <v>114</v>
      </c>
      <c r="M24" s="180"/>
      <c r="N24" s="180" t="s">
        <v>40</v>
      </c>
      <c r="O24" s="192" t="str">
        <f>HLOOKUP(Language!$C$3,Language!$E$1:$Z499,49,FALSE)</f>
        <v>Four 1 Gbps RJ45 SFP Transceivers 10/100BASE-TX/1000BASE-T Ethernet ports (Not CE marked)</v>
      </c>
      <c r="P24" s="180" t="s">
        <v>114</v>
      </c>
      <c r="Q24" s="180"/>
      <c r="R24" s="180" t="s">
        <v>40</v>
      </c>
      <c r="S24" s="192" t="str">
        <f>HLOOKUP(Language!$C$3,Language!$E$1:$Z499,49,FALSE)</f>
        <v>Four 1 Gbps RJ45 SFP Transceivers 10/100BASE-TX/1000BASE-T Ethernet ports (Not CE marked)</v>
      </c>
      <c r="T24" s="180" t="s">
        <v>114</v>
      </c>
      <c r="U24" s="180"/>
      <c r="V24" s="180" t="s">
        <v>40</v>
      </c>
      <c r="W24" s="192" t="str">
        <f>HLOOKUP(Language!$C$3,Language!$E$1:$Z499,49,FALSE)</f>
        <v>Four 1 Gbps RJ45 SFP Transceivers 10/100BASE-TX/1000BASE-T Ethernet ports (Not CE marked)</v>
      </c>
      <c r="X24" s="262" t="s">
        <v>114</v>
      </c>
      <c r="Y24" s="262"/>
      <c r="Z24" s="262" t="s">
        <v>40</v>
      </c>
      <c r="AA24" s="192" t="str">
        <f>HLOOKUP(Language!$C$3,Language!$E$1:$Z499,52,FALSE)</f>
        <v>Two 1 Gbps LC-type connector multi mode fiber 1000BASE-SX Ethernet for up to 0.5 km + Two 100 Mbps LC-type connector multi mode fiber 100BASE-FX Ethernet for up to 2 km</v>
      </c>
      <c r="AB24" s="262" t="s">
        <v>119</v>
      </c>
      <c r="AC24" s="262"/>
      <c r="AD24" s="262" t="s">
        <v>40</v>
      </c>
    </row>
    <row r="25" spans="1:30" ht="24">
      <c r="A25" s="179"/>
      <c r="B25" s="17"/>
      <c r="C25" s="192" t="str">
        <f>HLOOKUP(Language!$C$3,Language!$E$1:$Z500,50,FALSE)</f>
        <v>Two 1 Gbps RJ45 SFP Transceivers 10/100BASE-TX/1000BASE-T Ethernet ports + Two 1 Gbps LC-type connector multi mode fiber 1000BASE-SX Ethernet for up to 0.5 km</v>
      </c>
      <c r="D25" s="180" t="s">
        <v>117</v>
      </c>
      <c r="E25" s="180"/>
      <c r="F25" s="180" t="s">
        <v>40</v>
      </c>
      <c r="G25" s="15"/>
      <c r="H25" s="15"/>
      <c r="I25" s="180"/>
      <c r="J25" s="15"/>
      <c r="K25" s="192" t="str">
        <f>HLOOKUP(Language!$C$3,Language!$E$1:$Z500,50,FALSE)</f>
        <v>Two 1 Gbps RJ45 SFP Transceivers 10/100BASE-TX/1000BASE-T Ethernet ports + Two 1 Gbps LC-type connector multi mode fiber 1000BASE-SX Ethernet for up to 0.5 km</v>
      </c>
      <c r="L25" s="180" t="s">
        <v>117</v>
      </c>
      <c r="M25" s="180"/>
      <c r="N25" s="180" t="s">
        <v>40</v>
      </c>
      <c r="O25" s="192" t="str">
        <f>HLOOKUP(Language!$C$3,Language!$E$1:$Z500,50,FALSE)</f>
        <v>Two 1 Gbps RJ45 SFP Transceivers 10/100BASE-TX/1000BASE-T Ethernet ports + Two 1 Gbps LC-type connector multi mode fiber 1000BASE-SX Ethernet for up to 0.5 km</v>
      </c>
      <c r="P25" s="180" t="s">
        <v>117</v>
      </c>
      <c r="Q25" s="180"/>
      <c r="R25" s="180" t="s">
        <v>40</v>
      </c>
      <c r="S25" s="192" t="str">
        <f>HLOOKUP(Language!$C$3,Language!$E$1:$Z500,50,FALSE)</f>
        <v>Two 1 Gbps RJ45 SFP Transceivers 10/100BASE-TX/1000BASE-T Ethernet ports + Two 1 Gbps LC-type connector multi mode fiber 1000BASE-SX Ethernet for up to 0.5 km</v>
      </c>
      <c r="T25" s="180" t="s">
        <v>117</v>
      </c>
      <c r="U25" s="180"/>
      <c r="V25" s="180" t="s">
        <v>40</v>
      </c>
      <c r="W25" s="192" t="str">
        <f>HLOOKUP(Language!$C$3,Language!$E$1:$Z500,50,FALSE)</f>
        <v>Two 1 Gbps RJ45 SFP Transceivers 10/100BASE-TX/1000BASE-T Ethernet ports + Two 1 Gbps LC-type connector multi mode fiber 1000BASE-SX Ethernet for up to 0.5 km</v>
      </c>
      <c r="X25" s="262" t="s">
        <v>117</v>
      </c>
      <c r="Y25" s="262"/>
      <c r="Z25" s="262" t="s">
        <v>40</v>
      </c>
      <c r="AA25" s="192" t="str">
        <f>HLOOKUP(Language!$C$3,Language!$E$1:$Z500,70,FALSE)</f>
        <v>Four 1 Gbps RJ45 SFP Transceivers 10/100BASE-TX/1000BASE-T Ethernet ports (Not CE marked) (Withdraw)</v>
      </c>
      <c r="AB25" s="262" t="s">
        <v>114</v>
      </c>
      <c r="AC25" s="262"/>
      <c r="AD25" s="262" t="s">
        <v>40</v>
      </c>
    </row>
    <row r="26" spans="1:30" ht="24">
      <c r="A26" s="179"/>
      <c r="B26" s="17"/>
      <c r="C26" s="192" t="str">
        <f>HLOOKUP(Language!$C$3,Language!$E$1:$Z501,51,FALSE)</f>
        <v>Two 1 Gbps RJ45 SFP Transceivers 10/100BASE-TX/1000BASE-T Ethernet ports + Two 100 Mbps LC-type connector multi mode fiber 100BASE-FX Ethernet for up to 2 km</v>
      </c>
      <c r="D26" s="180" t="s">
        <v>118</v>
      </c>
      <c r="E26" s="180"/>
      <c r="F26" s="180" t="s">
        <v>40</v>
      </c>
      <c r="G26" s="180"/>
      <c r="H26" s="180"/>
      <c r="I26" s="180"/>
      <c r="J26" s="180"/>
      <c r="K26" s="192" t="str">
        <f>HLOOKUP(Language!$C$3,Language!$E$1:$Z501,51,FALSE)</f>
        <v>Two 1 Gbps RJ45 SFP Transceivers 10/100BASE-TX/1000BASE-T Ethernet ports + Two 100 Mbps LC-type connector multi mode fiber 100BASE-FX Ethernet for up to 2 km</v>
      </c>
      <c r="L26" s="180" t="s">
        <v>118</v>
      </c>
      <c r="M26" s="180"/>
      <c r="N26" s="180" t="s">
        <v>40</v>
      </c>
      <c r="O26" s="192" t="str">
        <f>HLOOKUP(Language!$C$3,Language!$E$1:$Z501,51,FALSE)</f>
        <v>Two 1 Gbps RJ45 SFP Transceivers 10/100BASE-TX/1000BASE-T Ethernet ports + Two 100 Mbps LC-type connector multi mode fiber 100BASE-FX Ethernet for up to 2 km</v>
      </c>
      <c r="P26" s="180" t="s">
        <v>118</v>
      </c>
      <c r="Q26" s="180"/>
      <c r="R26" s="180" t="s">
        <v>40</v>
      </c>
      <c r="S26" s="192" t="str">
        <f>HLOOKUP(Language!$C$3,Language!$E$1:$Z501,51,FALSE)</f>
        <v>Two 1 Gbps RJ45 SFP Transceivers 10/100BASE-TX/1000BASE-T Ethernet ports + Two 100 Mbps LC-type connector multi mode fiber 100BASE-FX Ethernet for up to 2 km</v>
      </c>
      <c r="T26" s="180" t="s">
        <v>118</v>
      </c>
      <c r="U26" s="180"/>
      <c r="V26" s="180" t="s">
        <v>40</v>
      </c>
      <c r="W26" s="192" t="str">
        <f>HLOOKUP(Language!$C$3,Language!$E$1:$Z501,51,FALSE)</f>
        <v>Two 1 Gbps RJ45 SFP Transceivers 10/100BASE-TX/1000BASE-T Ethernet ports + Two 100 Mbps LC-type connector multi mode fiber 100BASE-FX Ethernet for up to 2 km</v>
      </c>
      <c r="X26" s="262" t="s">
        <v>118</v>
      </c>
      <c r="Y26" s="262"/>
      <c r="Z26" s="262" t="s">
        <v>40</v>
      </c>
      <c r="AA26" s="192" t="str">
        <f>HLOOKUP(Language!$C$3,Language!$E$1:$Z501,71,FALSE)</f>
        <v>Two 1 Gbps RJ45 SFP Transceivers 10/100BASE-TX/1000BASE-T Ethernet ports + Two 1 Gbps LC-type connector multi mode fiber 1000BASE-SX Ethernet for up to 0.5 km  (Withdraw)</v>
      </c>
      <c r="AB26" s="262" t="s">
        <v>117</v>
      </c>
      <c r="AC26" s="262"/>
      <c r="AD26" s="262" t="s">
        <v>40</v>
      </c>
    </row>
    <row r="27" spans="1:30" ht="24">
      <c r="A27" s="179"/>
      <c r="B27" s="17"/>
      <c r="C27" s="192" t="str">
        <f>HLOOKUP(Language!$C$3,Language!$E$1:$Z502,52,FALSE)</f>
        <v>Two 1 Gbps LC-type connector multi mode fiber 1000BASE-SX Ethernet for up to 0.5 km + Two 100 Mbps LC-type connector multi mode fiber 100BASE-FX Ethernet for up to 2 km</v>
      </c>
      <c r="D27" s="180" t="s">
        <v>119</v>
      </c>
      <c r="E27" s="180"/>
      <c r="F27" s="180" t="s">
        <v>40</v>
      </c>
      <c r="G27" s="180"/>
      <c r="H27" s="180"/>
      <c r="I27" s="180"/>
      <c r="J27" s="180"/>
      <c r="K27" s="192" t="str">
        <f>HLOOKUP(Language!$C$3,Language!$E$1:$Z502,52,FALSE)</f>
        <v>Two 1 Gbps LC-type connector multi mode fiber 1000BASE-SX Ethernet for up to 0.5 km + Two 100 Mbps LC-type connector multi mode fiber 100BASE-FX Ethernet for up to 2 km</v>
      </c>
      <c r="L27" s="180" t="s">
        <v>119</v>
      </c>
      <c r="M27" s="180"/>
      <c r="N27" s="180" t="s">
        <v>40</v>
      </c>
      <c r="O27" s="192" t="str">
        <f>HLOOKUP(Language!$C$3,Language!$E$1:$Z502,52,FALSE)</f>
        <v>Two 1 Gbps LC-type connector multi mode fiber 1000BASE-SX Ethernet for up to 0.5 km + Two 100 Mbps LC-type connector multi mode fiber 100BASE-FX Ethernet for up to 2 km</v>
      </c>
      <c r="P27" s="180" t="s">
        <v>119</v>
      </c>
      <c r="Q27" s="180"/>
      <c r="R27" s="180" t="s">
        <v>40</v>
      </c>
      <c r="S27" s="192" t="str">
        <f>HLOOKUP(Language!$C$3,Language!$E$1:$Z502,52,FALSE)</f>
        <v>Two 1 Gbps LC-type connector multi mode fiber 1000BASE-SX Ethernet for up to 0.5 km + Two 100 Mbps LC-type connector multi mode fiber 100BASE-FX Ethernet for up to 2 km</v>
      </c>
      <c r="T27" s="180" t="s">
        <v>119</v>
      </c>
      <c r="U27" s="180"/>
      <c r="V27" s="180" t="s">
        <v>40</v>
      </c>
      <c r="W27" s="192" t="str">
        <f>HLOOKUP(Language!$C$3,Language!$E$1:$Z502,52,FALSE)</f>
        <v>Two 1 Gbps LC-type connector multi mode fiber 1000BASE-SX Ethernet for up to 0.5 km + Two 100 Mbps LC-type connector multi mode fiber 100BASE-FX Ethernet for up to 2 km</v>
      </c>
      <c r="X27" s="262" t="s">
        <v>119</v>
      </c>
      <c r="Y27" s="262"/>
      <c r="Z27" s="262" t="s">
        <v>40</v>
      </c>
      <c r="AA27" s="192" t="str">
        <f>HLOOKUP(Language!$C$3,Language!$E$1:$Z502,72,FALSE)</f>
        <v>Two 1 Gbps RJ45 SFP Transceivers 10/100BASE-TX/1000BASE-T Ethernet ports + Two 100 Mbps LC-type connector multi mode fiber 100BASE-FX Ethernet for up to 2 km (Withdraw)</v>
      </c>
      <c r="AB27" s="262" t="s">
        <v>118</v>
      </c>
      <c r="AC27" s="262"/>
      <c r="AD27" s="262" t="s">
        <v>40</v>
      </c>
    </row>
    <row r="28" spans="1:30">
      <c r="A28" s="179"/>
      <c r="B28" s="17"/>
      <c r="C28" s="180" t="str">
        <f>HLOOKUP(Language!$C$3,Language!$E$1:$Z481,22,FALSE)</f>
        <v>Not installed</v>
      </c>
      <c r="D28" s="180" t="s">
        <v>28</v>
      </c>
      <c r="E28" s="180"/>
      <c r="F28" s="180" t="s">
        <v>40</v>
      </c>
      <c r="G28" s="180"/>
      <c r="H28" s="180"/>
      <c r="I28" s="180"/>
      <c r="J28" s="180"/>
      <c r="K28" s="180" t="str">
        <f>HLOOKUP(Language!$C$3,Language!$E$1:$Z481,22,FALSE)</f>
        <v>Not installed</v>
      </c>
      <c r="L28" s="180" t="s">
        <v>28</v>
      </c>
      <c r="M28" s="180"/>
      <c r="N28" s="180" t="s">
        <v>40</v>
      </c>
      <c r="O28" s="180" t="str">
        <f>HLOOKUP(Language!$C$3,Language!$E$1:$Z481,22,FALSE)</f>
        <v>Not installed</v>
      </c>
      <c r="P28" s="180" t="s">
        <v>28</v>
      </c>
      <c r="Q28" s="180"/>
      <c r="R28" s="180" t="s">
        <v>40</v>
      </c>
      <c r="S28" s="180" t="str">
        <f>HLOOKUP(Language!$C$3,Language!$E$1:$Z481,22,FALSE)</f>
        <v>Not installed</v>
      </c>
      <c r="T28" s="180" t="s">
        <v>28</v>
      </c>
      <c r="U28" s="180"/>
      <c r="V28" s="180" t="s">
        <v>40</v>
      </c>
      <c r="W28" s="262" t="str">
        <f>HLOOKUP(Language!$C$3,Language!$E$1:$Z481,22,FALSE)</f>
        <v>Not installed</v>
      </c>
      <c r="X28" s="262" t="s">
        <v>28</v>
      </c>
      <c r="Y28" s="262"/>
      <c r="Z28" s="262" t="s">
        <v>40</v>
      </c>
      <c r="AA28" s="262" t="str">
        <f>HLOOKUP(Language!$C$3,Language!$E$1:$Z481,74,FALSE)</f>
        <v>Not installed (Withdraw)</v>
      </c>
      <c r="AB28" s="262" t="s">
        <v>28</v>
      </c>
      <c r="AC28" s="262"/>
      <c r="AD28" s="262" t="s">
        <v>40</v>
      </c>
    </row>
    <row r="29" spans="1:30">
      <c r="A29" s="179"/>
      <c r="B29" s="17"/>
      <c r="C29" s="180"/>
      <c r="D29" s="180"/>
      <c r="E29" s="180"/>
      <c r="F29" s="180"/>
      <c r="G29" s="180"/>
      <c r="H29" s="180"/>
      <c r="I29" s="180"/>
      <c r="J29" s="180"/>
      <c r="K29" s="180"/>
      <c r="L29" s="180"/>
      <c r="M29" s="180"/>
      <c r="N29" s="180"/>
      <c r="O29" s="180"/>
      <c r="P29" s="180"/>
      <c r="Q29" s="180"/>
      <c r="R29" s="180"/>
      <c r="S29" s="180"/>
      <c r="T29" s="180"/>
      <c r="U29" s="180"/>
      <c r="V29" s="180"/>
      <c r="W29" s="262"/>
      <c r="X29" s="262"/>
      <c r="Y29" s="262"/>
      <c r="Z29" s="262"/>
      <c r="AA29" s="262"/>
      <c r="AB29" s="262"/>
      <c r="AC29" s="262"/>
      <c r="AD29" s="262"/>
    </row>
    <row r="30" spans="1:30">
      <c r="A30" s="179"/>
      <c r="B30" s="17"/>
      <c r="C30" s="180"/>
      <c r="D30" s="180"/>
      <c r="E30" s="180"/>
      <c r="F30" s="180"/>
      <c r="G30" s="180"/>
      <c r="H30" s="180"/>
      <c r="I30" s="180"/>
      <c r="J30" s="180"/>
      <c r="K30" s="180"/>
      <c r="L30" s="180"/>
      <c r="M30" s="180"/>
      <c r="N30" s="180"/>
      <c r="O30" s="180"/>
      <c r="P30" s="180"/>
      <c r="Q30" s="180"/>
      <c r="R30" s="180"/>
      <c r="S30" s="180"/>
      <c r="T30" s="180"/>
      <c r="U30" s="180"/>
      <c r="V30" s="180"/>
      <c r="W30" s="262"/>
      <c r="X30" s="262"/>
      <c r="Y30" s="262"/>
      <c r="Z30" s="262"/>
      <c r="AA30" s="262"/>
      <c r="AB30" s="262"/>
      <c r="AC30" s="262"/>
      <c r="AD30" s="262"/>
    </row>
    <row r="31" spans="1:30">
      <c r="A31" s="181"/>
      <c r="B31" s="23"/>
      <c r="C31" s="182"/>
      <c r="D31" s="182"/>
      <c r="E31" s="182"/>
      <c r="F31" s="182"/>
      <c r="G31" s="182"/>
      <c r="H31" s="182"/>
      <c r="I31" s="182"/>
      <c r="J31" s="182"/>
      <c r="K31" s="182"/>
      <c r="L31" s="182"/>
      <c r="M31" s="182"/>
      <c r="N31" s="182"/>
      <c r="O31" s="182"/>
      <c r="P31" s="182"/>
      <c r="Q31" s="182"/>
      <c r="R31" s="182"/>
      <c r="S31" s="182"/>
      <c r="T31" s="182"/>
      <c r="U31" s="182"/>
      <c r="V31" s="182"/>
      <c r="W31" s="263"/>
      <c r="X31" s="263"/>
      <c r="Y31" s="263"/>
      <c r="Z31" s="263"/>
      <c r="AA31" s="263"/>
      <c r="AB31" s="263"/>
      <c r="AC31" s="263"/>
      <c r="AD31" s="263"/>
    </row>
    <row r="32" spans="1:30">
      <c r="A32" s="177">
        <v>5</v>
      </c>
      <c r="B32" s="16" t="str">
        <f>HLOOKUP(Language!$C$3,Language!$E$1:$Z490,10,FALSE)</f>
        <v>Interface Module 2</v>
      </c>
      <c r="C32" s="178" t="str">
        <f>HLOOKUP(Language!$C$3,Language!$E$1:$Z492,14,FALSE)</f>
        <v>Four 1 Gbps RJ45 copper 10/100BASE-TX/1000BASE-T Ethernet ports</v>
      </c>
      <c r="D32" s="178" t="s">
        <v>26</v>
      </c>
      <c r="E32" s="178"/>
      <c r="F32" s="178" t="s">
        <v>40</v>
      </c>
      <c r="G32" s="178" t="str">
        <f>HLOOKUP(Language!$C$3,Language!$E$1:$Z492,14,FALSE)</f>
        <v>Four 1 Gbps RJ45 copper 10/100BASE-TX/1000BASE-T Ethernet ports</v>
      </c>
      <c r="H32" s="178" t="s">
        <v>26</v>
      </c>
      <c r="I32" s="178"/>
      <c r="J32" s="178" t="s">
        <v>40</v>
      </c>
      <c r="K32" s="178" t="str">
        <f>HLOOKUP(Language!$C$3,Language!$E$1:$Z492,14,FALSE)</f>
        <v>Four 1 Gbps RJ45 copper 10/100BASE-TX/1000BASE-T Ethernet ports</v>
      </c>
      <c r="L32" s="178" t="s">
        <v>26</v>
      </c>
      <c r="M32" s="178"/>
      <c r="N32" s="178" t="s">
        <v>40</v>
      </c>
      <c r="O32" s="178" t="str">
        <f>HLOOKUP(Language!$C$3,Language!$E$1:$Z492,14,FALSE)</f>
        <v>Four 1 Gbps RJ45 copper 10/100BASE-TX/1000BASE-T Ethernet ports</v>
      </c>
      <c r="P32" s="178" t="s">
        <v>26</v>
      </c>
      <c r="Q32" s="178"/>
      <c r="R32" s="178" t="s">
        <v>40</v>
      </c>
      <c r="S32" s="178" t="str">
        <f>HLOOKUP(Language!$C$3,Language!$E$1:$Z492,14,FALSE)</f>
        <v>Four 1 Gbps RJ45 copper 10/100BASE-TX/1000BASE-T Ethernet ports</v>
      </c>
      <c r="T32" s="178" t="s">
        <v>26</v>
      </c>
      <c r="U32" s="178"/>
      <c r="V32" s="178" t="s">
        <v>40</v>
      </c>
      <c r="W32" s="261" t="str">
        <f>HLOOKUP(Language!$C$3,Language!$E$1:$Z492,14,FALSE)</f>
        <v>Four 1 Gbps RJ45 copper 10/100BASE-TX/1000BASE-T Ethernet ports</v>
      </c>
      <c r="X32" s="261" t="s">
        <v>26</v>
      </c>
      <c r="Y32" s="261"/>
      <c r="Z32" s="261" t="s">
        <v>40</v>
      </c>
      <c r="AA32" s="261" t="str">
        <f>HLOOKUP(Language!$C$3,Language!$E$1:$Z492,14,FALSE)</f>
        <v>Four 1 Gbps RJ45 copper 10/100BASE-TX/1000BASE-T Ethernet ports</v>
      </c>
      <c r="AB32" s="261" t="s">
        <v>26</v>
      </c>
      <c r="AC32" s="261"/>
      <c r="AD32" s="261" t="s">
        <v>40</v>
      </c>
    </row>
    <row r="33" spans="1:30">
      <c r="A33" s="179"/>
      <c r="B33" s="17"/>
      <c r="C33" s="122" t="str">
        <f>HLOOKUP(Language!$C$3,Language!$E$1:$Z492,15,FALSE)</f>
        <v>Four slots for SFP transceivers</v>
      </c>
      <c r="D33" s="180" t="s">
        <v>27</v>
      </c>
      <c r="E33" s="122"/>
      <c r="F33" s="180" t="s">
        <v>40</v>
      </c>
      <c r="G33" s="122" t="str">
        <f>HLOOKUP(Language!$C$3,Language!$E$1:$Z492,15,FALSE)</f>
        <v>Four slots for SFP transceivers</v>
      </c>
      <c r="H33" s="180" t="s">
        <v>27</v>
      </c>
      <c r="I33" s="122"/>
      <c r="J33" s="180" t="s">
        <v>40</v>
      </c>
      <c r="K33" s="122" t="str">
        <f>HLOOKUP(Language!$C$3,Language!$E$1:$Z492,15,FALSE)</f>
        <v>Four slots for SFP transceivers</v>
      </c>
      <c r="L33" s="180" t="s">
        <v>27</v>
      </c>
      <c r="M33" s="122"/>
      <c r="N33" s="180" t="s">
        <v>40</v>
      </c>
      <c r="O33" s="122" t="str">
        <f>HLOOKUP(Language!$C$3,Language!$E$1:$Z492,15,FALSE)</f>
        <v>Four slots for SFP transceivers</v>
      </c>
      <c r="P33" s="180" t="s">
        <v>27</v>
      </c>
      <c r="Q33" s="122"/>
      <c r="R33" s="180" t="s">
        <v>40</v>
      </c>
      <c r="S33" s="122" t="str">
        <f>HLOOKUP(Language!$C$3,Language!$E$1:$Z492,15,FALSE)</f>
        <v>Four slots for SFP transceivers</v>
      </c>
      <c r="T33" s="180" t="s">
        <v>27</v>
      </c>
      <c r="U33" s="122"/>
      <c r="V33" s="180" t="s">
        <v>40</v>
      </c>
      <c r="W33" s="122" t="str">
        <f>HLOOKUP(Language!$C$3,Language!$E$1:$Z492,15,FALSE)</f>
        <v>Four slots for SFP transceivers</v>
      </c>
      <c r="X33" s="262" t="s">
        <v>27</v>
      </c>
      <c r="Y33" s="122"/>
      <c r="Z33" s="262" t="s">
        <v>40</v>
      </c>
      <c r="AA33" s="122" t="str">
        <f>HLOOKUP(Language!$C$3,Language!$E$1:$Z492,15,FALSE)</f>
        <v>Four slots for SFP transceivers</v>
      </c>
      <c r="AB33" s="262" t="s">
        <v>27</v>
      </c>
      <c r="AC33" s="122"/>
      <c r="AD33" s="262" t="s">
        <v>40</v>
      </c>
    </row>
    <row r="34" spans="1:30">
      <c r="A34" s="179"/>
      <c r="B34" s="17"/>
      <c r="C34" s="180" t="str">
        <f>HLOOKUP(Language!$C$3,Language!$E$1:$Z493,16,FALSE)</f>
        <v>Four 1 Gbps LC-type connector multi mode fiber 1000BASE-SX Ethernet for up to 0.5 km</v>
      </c>
      <c r="D34" s="180" t="s">
        <v>29</v>
      </c>
      <c r="E34" s="180"/>
      <c r="F34" s="180" t="s">
        <v>40</v>
      </c>
      <c r="G34" s="180" t="str">
        <f>HLOOKUP(Language!$C$3,Language!$E$1:$Z493,16,FALSE)</f>
        <v>Four 1 Gbps LC-type connector multi mode fiber 1000BASE-SX Ethernet for up to 0.5 km</v>
      </c>
      <c r="H34" s="180" t="s">
        <v>29</v>
      </c>
      <c r="I34" s="180"/>
      <c r="J34" s="180" t="s">
        <v>40</v>
      </c>
      <c r="K34" s="180" t="str">
        <f>HLOOKUP(Language!$C$3,Language!$E$1:$Z493,16,FALSE)</f>
        <v>Four 1 Gbps LC-type connector multi mode fiber 1000BASE-SX Ethernet for up to 0.5 km</v>
      </c>
      <c r="L34" s="180" t="s">
        <v>29</v>
      </c>
      <c r="M34" s="180"/>
      <c r="N34" s="180" t="s">
        <v>40</v>
      </c>
      <c r="O34" s="180" t="str">
        <f>HLOOKUP(Language!$C$3,Language!$E$1:$Z493,16,FALSE)</f>
        <v>Four 1 Gbps LC-type connector multi mode fiber 1000BASE-SX Ethernet for up to 0.5 km</v>
      </c>
      <c r="P34" s="180" t="s">
        <v>29</v>
      </c>
      <c r="Q34" s="180"/>
      <c r="R34" s="180" t="s">
        <v>40</v>
      </c>
      <c r="S34" s="180" t="str">
        <f>HLOOKUP(Language!$C$3,Language!$E$1:$Z493,16,FALSE)</f>
        <v>Four 1 Gbps LC-type connector multi mode fiber 1000BASE-SX Ethernet for up to 0.5 km</v>
      </c>
      <c r="T34" s="180" t="s">
        <v>29</v>
      </c>
      <c r="U34" s="180"/>
      <c r="V34" s="180" t="s">
        <v>40</v>
      </c>
      <c r="W34" s="262" t="str">
        <f>HLOOKUP(Language!$C$3,Language!$E$1:$Z493,16,FALSE)</f>
        <v>Four 1 Gbps LC-type connector multi mode fiber 1000BASE-SX Ethernet for up to 0.5 km</v>
      </c>
      <c r="X34" s="262" t="s">
        <v>29</v>
      </c>
      <c r="Y34" s="262"/>
      <c r="Z34" s="262" t="s">
        <v>40</v>
      </c>
      <c r="AA34" s="262" t="str">
        <f>HLOOKUP(Language!$C$3,Language!$E$1:$Z493,16,FALSE)</f>
        <v>Four 1 Gbps LC-type connector multi mode fiber 1000BASE-SX Ethernet for up to 0.5 km</v>
      </c>
      <c r="AB34" s="262" t="s">
        <v>29</v>
      </c>
      <c r="AC34" s="262"/>
      <c r="AD34" s="262" t="s">
        <v>40</v>
      </c>
    </row>
    <row r="35" spans="1:30">
      <c r="A35" s="179"/>
      <c r="B35" s="17"/>
      <c r="C35" s="180" t="str">
        <f>HLOOKUP(Language!$C$3,Language!$E$1:$Z494,17,FALSE)</f>
        <v>Four 1 Gbps LC-type connector single mode fiber 1000BASE-LX Ethernet for up to 10 km</v>
      </c>
      <c r="D35" s="180" t="s">
        <v>30</v>
      </c>
      <c r="E35" s="180"/>
      <c r="F35" s="180" t="s">
        <v>40</v>
      </c>
      <c r="G35" s="180" t="str">
        <f>HLOOKUP(Language!$C$3,Language!$E$1:$Z494,17,FALSE)</f>
        <v>Four 1 Gbps LC-type connector single mode fiber 1000BASE-LX Ethernet for up to 10 km</v>
      </c>
      <c r="H35" s="180" t="s">
        <v>30</v>
      </c>
      <c r="I35" s="180"/>
      <c r="J35" s="180" t="s">
        <v>40</v>
      </c>
      <c r="K35" s="180" t="str">
        <f>HLOOKUP(Language!$C$3,Language!$E$1:$Z494,17,FALSE)</f>
        <v>Four 1 Gbps LC-type connector single mode fiber 1000BASE-LX Ethernet for up to 10 km</v>
      </c>
      <c r="L35" s="180" t="s">
        <v>30</v>
      </c>
      <c r="M35" s="180"/>
      <c r="N35" s="180" t="s">
        <v>40</v>
      </c>
      <c r="O35" s="180" t="str">
        <f>HLOOKUP(Language!$C$3,Language!$E$1:$Z494,17,FALSE)</f>
        <v>Four 1 Gbps LC-type connector single mode fiber 1000BASE-LX Ethernet for up to 10 km</v>
      </c>
      <c r="P35" s="180" t="s">
        <v>30</v>
      </c>
      <c r="Q35" s="180"/>
      <c r="R35" s="180" t="s">
        <v>40</v>
      </c>
      <c r="S35" s="180" t="str">
        <f>HLOOKUP(Language!$C$3,Language!$E$1:$Z494,17,FALSE)</f>
        <v>Four 1 Gbps LC-type connector single mode fiber 1000BASE-LX Ethernet for up to 10 km</v>
      </c>
      <c r="T35" s="180" t="s">
        <v>30</v>
      </c>
      <c r="U35" s="180"/>
      <c r="V35" s="180" t="s">
        <v>40</v>
      </c>
      <c r="W35" s="262" t="str">
        <f>HLOOKUP(Language!$C$3,Language!$E$1:$Z494,17,FALSE)</f>
        <v>Four 1 Gbps LC-type connector single mode fiber 1000BASE-LX Ethernet for up to 10 km</v>
      </c>
      <c r="X35" s="262" t="s">
        <v>30</v>
      </c>
      <c r="Y35" s="262"/>
      <c r="Z35" s="262" t="s">
        <v>40</v>
      </c>
      <c r="AA35" s="262" t="str">
        <f>HLOOKUP(Language!$C$3,Language!$E$1:$Z494,17,FALSE)</f>
        <v>Four 1 Gbps LC-type connector single mode fiber 1000BASE-LX Ethernet for up to 10 km</v>
      </c>
      <c r="AB35" s="262" t="s">
        <v>30</v>
      </c>
      <c r="AC35" s="262"/>
      <c r="AD35" s="262" t="s">
        <v>40</v>
      </c>
    </row>
    <row r="36" spans="1:30">
      <c r="A36" s="179"/>
      <c r="B36" s="17"/>
      <c r="C36" s="180" t="str">
        <f>HLOOKUP(Language!$C$3,Language!$E$1:$Z495,18,FALSE)</f>
        <v>Four 1 Gbps LC-type connector single mode fiber 1000BASE-ZX Ethernet for up to 40 km</v>
      </c>
      <c r="D36" s="180" t="s">
        <v>41</v>
      </c>
      <c r="E36" s="180"/>
      <c r="F36" s="180" t="s">
        <v>40</v>
      </c>
      <c r="G36" s="180" t="str">
        <f>HLOOKUP(Language!$C$3,Language!$E$1:$Z495,18,FALSE)</f>
        <v>Four 1 Gbps LC-type connector single mode fiber 1000BASE-ZX Ethernet for up to 40 km</v>
      </c>
      <c r="H36" s="180" t="s">
        <v>41</v>
      </c>
      <c r="I36" s="180"/>
      <c r="J36" s="180" t="s">
        <v>40</v>
      </c>
      <c r="K36" s="180" t="str">
        <f>HLOOKUP(Language!$C$3,Language!$E$1:$Z495,18,FALSE)</f>
        <v>Four 1 Gbps LC-type connector single mode fiber 1000BASE-ZX Ethernet for up to 40 km</v>
      </c>
      <c r="L36" s="180" t="s">
        <v>41</v>
      </c>
      <c r="M36" s="180"/>
      <c r="N36" s="180" t="s">
        <v>40</v>
      </c>
      <c r="O36" s="180" t="str">
        <f>HLOOKUP(Language!$C$3,Language!$E$1:$Z495,18,FALSE)</f>
        <v>Four 1 Gbps LC-type connector single mode fiber 1000BASE-ZX Ethernet for up to 40 km</v>
      </c>
      <c r="P36" s="180" t="s">
        <v>41</v>
      </c>
      <c r="Q36" s="180"/>
      <c r="R36" s="180" t="s">
        <v>40</v>
      </c>
      <c r="S36" s="180" t="str">
        <f>HLOOKUP(Language!$C$3,Language!$E$1:$Z495,18,FALSE)</f>
        <v>Four 1 Gbps LC-type connector single mode fiber 1000BASE-ZX Ethernet for up to 40 km</v>
      </c>
      <c r="T36" s="180" t="s">
        <v>41</v>
      </c>
      <c r="U36" s="180"/>
      <c r="V36" s="180" t="s">
        <v>40</v>
      </c>
      <c r="W36" s="262" t="str">
        <f>HLOOKUP(Language!$C$3,Language!$E$1:$Z495,18,FALSE)</f>
        <v>Four 1 Gbps LC-type connector single mode fiber 1000BASE-ZX Ethernet for up to 40 km</v>
      </c>
      <c r="X36" s="262" t="s">
        <v>41</v>
      </c>
      <c r="Y36" s="262"/>
      <c r="Z36" s="262" t="s">
        <v>40</v>
      </c>
      <c r="AA36" s="262" t="str">
        <f>HLOOKUP(Language!$C$3,Language!$E$1:$Z495,18,FALSE)</f>
        <v>Four 1 Gbps LC-type connector single mode fiber 1000BASE-ZX Ethernet for up to 40 km</v>
      </c>
      <c r="AB36" s="262" t="s">
        <v>41</v>
      </c>
      <c r="AC36" s="262"/>
      <c r="AD36" s="262" t="s">
        <v>40</v>
      </c>
    </row>
    <row r="37" spans="1:30">
      <c r="A37" s="179"/>
      <c r="B37" s="17"/>
      <c r="C37" s="180" t="str">
        <f>HLOOKUP(Language!$C$3,Language!$E$1:$Z496,19,FALSE)</f>
        <v>Four 1 Gbps LC-type connector single mode fiber 1000BASE-ZX Ethernet for up to 80 km</v>
      </c>
      <c r="D37" s="180" t="s">
        <v>42</v>
      </c>
      <c r="E37" s="180"/>
      <c r="F37" s="180" t="s">
        <v>40</v>
      </c>
      <c r="G37" s="180" t="str">
        <f>HLOOKUP(Language!$C$3,Language!$E$1:$Z496,19,FALSE)</f>
        <v>Four 1 Gbps LC-type connector single mode fiber 1000BASE-ZX Ethernet for up to 80 km</v>
      </c>
      <c r="H37" s="180" t="s">
        <v>42</v>
      </c>
      <c r="I37" s="180"/>
      <c r="J37" s="180" t="s">
        <v>40</v>
      </c>
      <c r="K37" s="180" t="str">
        <f>HLOOKUP(Language!$C$3,Language!$E$1:$Z496,19,FALSE)</f>
        <v>Four 1 Gbps LC-type connector single mode fiber 1000BASE-ZX Ethernet for up to 80 km</v>
      </c>
      <c r="L37" s="180" t="s">
        <v>42</v>
      </c>
      <c r="M37" s="180"/>
      <c r="N37" s="180" t="s">
        <v>40</v>
      </c>
      <c r="O37" s="180" t="str">
        <f>HLOOKUP(Language!$C$3,Language!$E$1:$Z496,19,FALSE)</f>
        <v>Four 1 Gbps LC-type connector single mode fiber 1000BASE-ZX Ethernet for up to 80 km</v>
      </c>
      <c r="P37" s="180" t="s">
        <v>42</v>
      </c>
      <c r="Q37" s="180"/>
      <c r="R37" s="180" t="s">
        <v>40</v>
      </c>
      <c r="S37" s="180" t="str">
        <f>HLOOKUP(Language!$C$3,Language!$E$1:$Z496,19,FALSE)</f>
        <v>Four 1 Gbps LC-type connector single mode fiber 1000BASE-ZX Ethernet for up to 80 km</v>
      </c>
      <c r="T37" s="180" t="s">
        <v>42</v>
      </c>
      <c r="U37" s="180"/>
      <c r="V37" s="180" t="s">
        <v>40</v>
      </c>
      <c r="W37" s="262" t="str">
        <f>HLOOKUP(Language!$C$3,Language!$E$1:$Z496,19,FALSE)</f>
        <v>Four 1 Gbps LC-type connector single mode fiber 1000BASE-ZX Ethernet for up to 80 km</v>
      </c>
      <c r="X37" s="262" t="s">
        <v>42</v>
      </c>
      <c r="Y37" s="262"/>
      <c r="Z37" s="262" t="s">
        <v>40</v>
      </c>
      <c r="AA37" s="262" t="str">
        <f>HLOOKUP(Language!$C$3,Language!$E$1:$Z496,19,FALSE)</f>
        <v>Four 1 Gbps LC-type connector single mode fiber 1000BASE-ZX Ethernet for up to 80 km</v>
      </c>
      <c r="AB37" s="262" t="s">
        <v>42</v>
      </c>
      <c r="AC37" s="262"/>
      <c r="AD37" s="262" t="s">
        <v>40</v>
      </c>
    </row>
    <row r="38" spans="1:30">
      <c r="A38" s="179"/>
      <c r="B38" s="17"/>
      <c r="C38" s="180" t="str">
        <f>HLOOKUP(Language!$C$3,Language!$E$1:$Z497,20,FALSE)</f>
        <v>Four 100 Mbps LC-type connector multi mode fiber 100BASE-FX Ethernet for up to 2 km</v>
      </c>
      <c r="D38" s="180" t="s">
        <v>43</v>
      </c>
      <c r="E38" s="180"/>
      <c r="F38" s="180" t="s">
        <v>40</v>
      </c>
      <c r="G38" s="180" t="str">
        <f>HLOOKUP(Language!$C$3,Language!$E$1:$Z497,20,FALSE)</f>
        <v>Four 100 Mbps LC-type connector multi mode fiber 100BASE-FX Ethernet for up to 2 km</v>
      </c>
      <c r="H38" s="180" t="s">
        <v>43</v>
      </c>
      <c r="I38" s="180"/>
      <c r="J38" s="180" t="s">
        <v>40</v>
      </c>
      <c r="K38" s="180" t="str">
        <f>HLOOKUP(Language!$C$3,Language!$E$1:$Z497,20,FALSE)</f>
        <v>Four 100 Mbps LC-type connector multi mode fiber 100BASE-FX Ethernet for up to 2 km</v>
      </c>
      <c r="L38" s="180" t="s">
        <v>43</v>
      </c>
      <c r="M38" s="180"/>
      <c r="N38" s="180" t="s">
        <v>40</v>
      </c>
      <c r="O38" s="180" t="str">
        <f>HLOOKUP(Language!$C$3,Language!$E$1:$Z497,20,FALSE)</f>
        <v>Four 100 Mbps LC-type connector multi mode fiber 100BASE-FX Ethernet for up to 2 km</v>
      </c>
      <c r="P38" s="180" t="s">
        <v>43</v>
      </c>
      <c r="Q38" s="180"/>
      <c r="R38" s="180" t="s">
        <v>40</v>
      </c>
      <c r="S38" s="180" t="str">
        <f>HLOOKUP(Language!$C$3,Language!$E$1:$Z497,20,FALSE)</f>
        <v>Four 100 Mbps LC-type connector multi mode fiber 100BASE-FX Ethernet for up to 2 km</v>
      </c>
      <c r="T38" s="180" t="s">
        <v>43</v>
      </c>
      <c r="U38" s="180"/>
      <c r="V38" s="180" t="s">
        <v>40</v>
      </c>
      <c r="W38" s="262" t="str">
        <f>HLOOKUP(Language!$C$3,Language!$E$1:$Z497,20,FALSE)</f>
        <v>Four 100 Mbps LC-type connector multi mode fiber 100BASE-FX Ethernet for up to 2 km</v>
      </c>
      <c r="X38" s="262" t="s">
        <v>43</v>
      </c>
      <c r="Y38" s="262"/>
      <c r="Z38" s="262" t="s">
        <v>40</v>
      </c>
      <c r="AA38" s="262" t="str">
        <f>HLOOKUP(Language!$C$3,Language!$E$1:$Z497,20,FALSE)</f>
        <v>Four 100 Mbps LC-type connector multi mode fiber 100BASE-FX Ethernet for up to 2 km</v>
      </c>
      <c r="AB38" s="262" t="s">
        <v>43</v>
      </c>
      <c r="AC38" s="262"/>
      <c r="AD38" s="262" t="s">
        <v>40</v>
      </c>
    </row>
    <row r="39" spans="1:30">
      <c r="A39" s="179"/>
      <c r="B39" s="17"/>
      <c r="C39" s="180" t="str">
        <f>HLOOKUP(Language!$C$3,Language!$E$1:$Z515,21,FALSE)</f>
        <v>Four RJ45 copper 10/100BASE-TX</v>
      </c>
      <c r="D39" s="180" t="s">
        <v>120</v>
      </c>
      <c r="E39" s="180"/>
      <c r="F39" s="180" t="s">
        <v>40</v>
      </c>
      <c r="G39" s="180" t="str">
        <f>HLOOKUP(Language!$C$3,Language!$E$1:$Z478,22,FALSE)</f>
        <v>Not installed</v>
      </c>
      <c r="H39" s="180" t="s">
        <v>28</v>
      </c>
      <c r="I39" s="180"/>
      <c r="J39" s="180" t="s">
        <v>40</v>
      </c>
      <c r="K39" s="180" t="str">
        <f>HLOOKUP(Language!$C$3,Language!$E$1:$Z515,21,FALSE)</f>
        <v>Four RJ45 copper 10/100BASE-TX</v>
      </c>
      <c r="L39" s="180" t="s">
        <v>120</v>
      </c>
      <c r="M39" s="180"/>
      <c r="N39" s="180" t="s">
        <v>40</v>
      </c>
      <c r="O39" s="180" t="str">
        <f>HLOOKUP(Language!$C$3,Language!$E$1:$Z515,21,FALSE)</f>
        <v>Four RJ45 copper 10/100BASE-TX</v>
      </c>
      <c r="P39" s="180" t="s">
        <v>120</v>
      </c>
      <c r="Q39" s="180"/>
      <c r="R39" s="180" t="s">
        <v>40</v>
      </c>
      <c r="S39" s="180" t="str">
        <f>HLOOKUP(Language!$C$3,Language!$E$1:$Z515,21,FALSE)</f>
        <v>Four RJ45 copper 10/100BASE-TX</v>
      </c>
      <c r="T39" s="180" t="s">
        <v>120</v>
      </c>
      <c r="U39" s="180"/>
      <c r="V39" s="180" t="s">
        <v>40</v>
      </c>
      <c r="W39" s="262" t="str">
        <f>HLOOKUP(Language!$C$3,Language!$E$1:$Z515,21,FALSE)</f>
        <v>Four RJ45 copper 10/100BASE-TX</v>
      </c>
      <c r="X39" s="262" t="s">
        <v>120</v>
      </c>
      <c r="Y39" s="262"/>
      <c r="Z39" s="262" t="s">
        <v>40</v>
      </c>
      <c r="AA39" s="262" t="str">
        <f>HLOOKUP(Language!$C$3,Language!$E$1:$Z515,21,FALSE)</f>
        <v>Four RJ45 copper 10/100BASE-TX</v>
      </c>
      <c r="AB39" s="262" t="s">
        <v>120</v>
      </c>
      <c r="AC39" s="262"/>
      <c r="AD39" s="262" t="s">
        <v>40</v>
      </c>
    </row>
    <row r="40" spans="1:30">
      <c r="A40" s="179"/>
      <c r="B40" s="17"/>
      <c r="C40" s="192" t="str">
        <f>HLOOKUP(Language!$C$3,Language!$E$1:$Z509,49,FALSE)</f>
        <v>Four 1 Gbps RJ45 SFP Transceivers 10/100BASE-TX/1000BASE-T Ethernet ports (Not CE marked)</v>
      </c>
      <c r="D40" s="180" t="s">
        <v>114</v>
      </c>
      <c r="E40" s="180"/>
      <c r="F40" s="180" t="s">
        <v>40</v>
      </c>
      <c r="G40" s="192"/>
      <c r="H40" s="180"/>
      <c r="I40" s="180"/>
      <c r="J40" s="180"/>
      <c r="K40" s="192" t="str">
        <f>HLOOKUP(Language!$C$3,Language!$E$1:$Z509,49,FALSE)</f>
        <v>Four 1 Gbps RJ45 SFP Transceivers 10/100BASE-TX/1000BASE-T Ethernet ports (Not CE marked)</v>
      </c>
      <c r="L40" s="180" t="s">
        <v>114</v>
      </c>
      <c r="M40" s="180"/>
      <c r="N40" s="180" t="s">
        <v>40</v>
      </c>
      <c r="O40" s="192" t="str">
        <f>HLOOKUP(Language!$C$3,Language!$E$1:$Z509,49,FALSE)</f>
        <v>Four 1 Gbps RJ45 SFP Transceivers 10/100BASE-TX/1000BASE-T Ethernet ports (Not CE marked)</v>
      </c>
      <c r="P40" s="180" t="s">
        <v>114</v>
      </c>
      <c r="Q40" s="180"/>
      <c r="R40" s="180" t="s">
        <v>40</v>
      </c>
      <c r="S40" s="192" t="str">
        <f>HLOOKUP(Language!$C$3,Language!$E$1:$Z509,49,FALSE)</f>
        <v>Four 1 Gbps RJ45 SFP Transceivers 10/100BASE-TX/1000BASE-T Ethernet ports (Not CE marked)</v>
      </c>
      <c r="T40" s="180" t="s">
        <v>114</v>
      </c>
      <c r="U40" s="180"/>
      <c r="V40" s="180" t="s">
        <v>40</v>
      </c>
      <c r="W40" s="192" t="str">
        <f>HLOOKUP(Language!$C$3,Language!$E$1:$Z509,49,FALSE)</f>
        <v>Four 1 Gbps RJ45 SFP Transceivers 10/100BASE-TX/1000BASE-T Ethernet ports (Not CE marked)</v>
      </c>
      <c r="X40" s="262" t="s">
        <v>114</v>
      </c>
      <c r="Y40" s="262"/>
      <c r="Z40" s="262" t="s">
        <v>40</v>
      </c>
      <c r="AA40" s="262" t="str">
        <f>HLOOKUP(Language!$C$3,Language!$E$1:$Z477,22,FALSE)</f>
        <v>Not installed</v>
      </c>
      <c r="AB40" s="262" t="s">
        <v>28</v>
      </c>
      <c r="AC40" s="262"/>
      <c r="AD40" s="262" t="s">
        <v>40</v>
      </c>
    </row>
    <row r="41" spans="1:30" ht="24">
      <c r="A41" s="179"/>
      <c r="B41" s="17"/>
      <c r="C41" s="180" t="str">
        <f>HLOOKUP(Language!$C$3,Language!$E$1:$Z478,22,FALSE)</f>
        <v>Not installed</v>
      </c>
      <c r="D41" s="180" t="s">
        <v>28</v>
      </c>
      <c r="E41" s="180"/>
      <c r="F41" s="180" t="s">
        <v>40</v>
      </c>
      <c r="G41" s="15"/>
      <c r="H41" s="15"/>
      <c r="I41" s="180"/>
      <c r="J41" s="180"/>
      <c r="K41" s="180" t="str">
        <f>HLOOKUP(Language!$C$3,Language!$E$1:$Z478,22,FALSE)</f>
        <v>Not installed</v>
      </c>
      <c r="L41" s="180" t="s">
        <v>28</v>
      </c>
      <c r="M41" s="180"/>
      <c r="N41" s="180" t="s">
        <v>40</v>
      </c>
      <c r="O41" s="180" t="str">
        <f>HLOOKUP(Language!$C$3,Language!$E$1:$Z478,22,FALSE)</f>
        <v>Not installed</v>
      </c>
      <c r="P41" s="180" t="s">
        <v>28</v>
      </c>
      <c r="Q41" s="180"/>
      <c r="R41" s="180" t="s">
        <v>40</v>
      </c>
      <c r="S41" s="180" t="str">
        <f>HLOOKUP(Language!$C$3,Language!$E$1:$Z478,22,FALSE)</f>
        <v>Not installed</v>
      </c>
      <c r="T41" s="180" t="s">
        <v>28</v>
      </c>
      <c r="U41" s="180"/>
      <c r="V41" s="180" t="s">
        <v>40</v>
      </c>
      <c r="W41" s="262" t="str">
        <f>HLOOKUP(Language!$C$3,Language!$E$1:$Z478,22,FALSE)</f>
        <v>Not installed</v>
      </c>
      <c r="X41" s="262" t="s">
        <v>28</v>
      </c>
      <c r="Y41" s="262"/>
      <c r="Z41" s="262" t="s">
        <v>40</v>
      </c>
      <c r="AA41" s="192" t="str">
        <f>HLOOKUP(Language!$C$3,Language!$E$1:$Z516,70,FALSE)</f>
        <v>Four 1 Gbps RJ45 SFP Transceivers 10/100BASE-TX/1000BASE-T Ethernet ports (Not CE marked) (Withdraw)</v>
      </c>
      <c r="AB41" s="262" t="s">
        <v>114</v>
      </c>
      <c r="AC41" s="262"/>
      <c r="AD41" s="262" t="s">
        <v>40</v>
      </c>
    </row>
    <row r="42" spans="1:30">
      <c r="A42" s="181"/>
      <c r="B42" s="23"/>
      <c r="C42" s="182"/>
      <c r="D42" s="182"/>
      <c r="E42" s="182"/>
      <c r="F42" s="182"/>
      <c r="G42" s="182"/>
      <c r="H42" s="182"/>
      <c r="I42" s="182"/>
      <c r="J42" s="182"/>
      <c r="K42" s="182"/>
      <c r="L42" s="182"/>
      <c r="M42" s="182"/>
      <c r="N42" s="182"/>
      <c r="O42" s="182"/>
      <c r="P42" s="182"/>
      <c r="Q42" s="182"/>
      <c r="R42" s="182"/>
      <c r="S42" s="182"/>
      <c r="T42" s="182"/>
      <c r="U42" s="182"/>
      <c r="V42" s="182"/>
      <c r="W42" s="263"/>
      <c r="X42" s="263"/>
      <c r="Y42" s="263"/>
      <c r="Z42" s="263"/>
      <c r="AA42" s="263"/>
      <c r="AB42" s="263"/>
      <c r="AC42" s="263"/>
      <c r="AD42" s="263"/>
    </row>
    <row r="43" spans="1:30">
      <c r="A43" s="177">
        <v>6</v>
      </c>
      <c r="B43" s="16" t="str">
        <f>HLOOKUP(Language!$C$3,Language!$E$1:$Z500,11,FALSE)</f>
        <v>Interface Module 3</v>
      </c>
      <c r="C43" s="178" t="str">
        <f>HLOOKUP(Language!$C$3,Language!$E$1:$Z502,14,FALSE)</f>
        <v>Four 1 Gbps RJ45 copper 10/100BASE-TX/1000BASE-T Ethernet ports</v>
      </c>
      <c r="D43" s="178" t="s">
        <v>26</v>
      </c>
      <c r="E43" s="178"/>
      <c r="F43" s="178" t="s">
        <v>40</v>
      </c>
      <c r="G43" s="178" t="str">
        <f>HLOOKUP(Language!$C$3,Language!$E$1:$Z502,14,FALSE)</f>
        <v>Four 1 Gbps RJ45 copper 10/100BASE-TX/1000BASE-T Ethernet ports</v>
      </c>
      <c r="H43" s="178" t="s">
        <v>26</v>
      </c>
      <c r="I43" s="178"/>
      <c r="J43" s="178" t="s">
        <v>40</v>
      </c>
      <c r="K43" s="178" t="str">
        <f>HLOOKUP(Language!$C$3,Language!$E$1:$Z502,14,FALSE)</f>
        <v>Four 1 Gbps RJ45 copper 10/100BASE-TX/1000BASE-T Ethernet ports</v>
      </c>
      <c r="L43" s="178" t="s">
        <v>26</v>
      </c>
      <c r="M43" s="178"/>
      <c r="N43" s="178" t="s">
        <v>40</v>
      </c>
      <c r="O43" s="178" t="str">
        <f>HLOOKUP(Language!$C$3,Language!$E$1:$Z502,14,FALSE)</f>
        <v>Four 1 Gbps RJ45 copper 10/100BASE-TX/1000BASE-T Ethernet ports</v>
      </c>
      <c r="P43" s="178" t="s">
        <v>26</v>
      </c>
      <c r="Q43" s="178"/>
      <c r="R43" s="178" t="s">
        <v>40</v>
      </c>
      <c r="S43" s="178" t="str">
        <f>HLOOKUP(Language!$C$3,Language!$E$1:$Z502,14,FALSE)</f>
        <v>Four 1 Gbps RJ45 copper 10/100BASE-TX/1000BASE-T Ethernet ports</v>
      </c>
      <c r="T43" s="178" t="s">
        <v>26</v>
      </c>
      <c r="U43" s="178"/>
      <c r="V43" s="178" t="s">
        <v>40</v>
      </c>
      <c r="W43" s="261" t="str">
        <f>HLOOKUP(Language!$C$3,Language!$E$1:$Z502,14,FALSE)</f>
        <v>Four 1 Gbps RJ45 copper 10/100BASE-TX/1000BASE-T Ethernet ports</v>
      </c>
      <c r="X43" s="261" t="s">
        <v>26</v>
      </c>
      <c r="Y43" s="261"/>
      <c r="Z43" s="261" t="s">
        <v>40</v>
      </c>
      <c r="AA43" s="261" t="str">
        <f>HLOOKUP(Language!$C$3,Language!$E$1:$Z502,14,FALSE)</f>
        <v>Four 1 Gbps RJ45 copper 10/100BASE-TX/1000BASE-T Ethernet ports</v>
      </c>
      <c r="AB43" s="261" t="s">
        <v>26</v>
      </c>
      <c r="AC43" s="261"/>
      <c r="AD43" s="261" t="s">
        <v>40</v>
      </c>
    </row>
    <row r="44" spans="1:30">
      <c r="A44" s="179"/>
      <c r="B44" s="17"/>
      <c r="C44" s="122" t="str">
        <f>HLOOKUP(Language!$C$3,Language!$E$1:$Z502,15,FALSE)</f>
        <v>Four slots for SFP transceivers</v>
      </c>
      <c r="D44" s="180" t="s">
        <v>27</v>
      </c>
      <c r="E44" s="122"/>
      <c r="F44" s="180" t="s">
        <v>40</v>
      </c>
      <c r="G44" s="122" t="str">
        <f>HLOOKUP(Language!$C$3,Language!$E$1:$Z502,15,FALSE)</f>
        <v>Four slots for SFP transceivers</v>
      </c>
      <c r="H44" s="180" t="s">
        <v>27</v>
      </c>
      <c r="I44" s="122"/>
      <c r="J44" s="180" t="s">
        <v>40</v>
      </c>
      <c r="K44" s="122" t="str">
        <f>HLOOKUP(Language!$C$3,Language!$E$1:$Z502,15,FALSE)</f>
        <v>Four slots for SFP transceivers</v>
      </c>
      <c r="L44" s="180" t="s">
        <v>27</v>
      </c>
      <c r="M44" s="122"/>
      <c r="N44" s="180" t="s">
        <v>40</v>
      </c>
      <c r="O44" s="122" t="str">
        <f>HLOOKUP(Language!$C$3,Language!$E$1:$Z502,15,FALSE)</f>
        <v>Four slots for SFP transceivers</v>
      </c>
      <c r="P44" s="180" t="s">
        <v>27</v>
      </c>
      <c r="Q44" s="122"/>
      <c r="R44" s="180" t="s">
        <v>40</v>
      </c>
      <c r="S44" s="122" t="str">
        <f>HLOOKUP(Language!$C$3,Language!$E$1:$Z502,15,FALSE)</f>
        <v>Four slots for SFP transceivers</v>
      </c>
      <c r="T44" s="180" t="s">
        <v>27</v>
      </c>
      <c r="U44" s="122"/>
      <c r="V44" s="180" t="s">
        <v>40</v>
      </c>
      <c r="W44" s="122" t="str">
        <f>HLOOKUP(Language!$C$3,Language!$E$1:$Z502,15,FALSE)</f>
        <v>Four slots for SFP transceivers</v>
      </c>
      <c r="X44" s="262" t="s">
        <v>27</v>
      </c>
      <c r="Y44" s="122"/>
      <c r="Z44" s="262" t="s">
        <v>40</v>
      </c>
      <c r="AA44" s="122" t="str">
        <f>HLOOKUP(Language!$C$3,Language!$E$1:$Z502,15,FALSE)</f>
        <v>Four slots for SFP transceivers</v>
      </c>
      <c r="AB44" s="262" t="s">
        <v>27</v>
      </c>
      <c r="AC44" s="122"/>
      <c r="AD44" s="262" t="s">
        <v>40</v>
      </c>
    </row>
    <row r="45" spans="1:30">
      <c r="A45" s="179"/>
      <c r="B45" s="17"/>
      <c r="C45" s="180" t="str">
        <f>HLOOKUP(Language!$C$3,Language!$E$1:$Z503,16,FALSE)</f>
        <v>Four 1 Gbps LC-type connector multi mode fiber 1000BASE-SX Ethernet for up to 0.5 km</v>
      </c>
      <c r="D45" s="180" t="s">
        <v>29</v>
      </c>
      <c r="E45" s="180"/>
      <c r="F45" s="180" t="s">
        <v>40</v>
      </c>
      <c r="G45" s="180" t="str">
        <f>HLOOKUP(Language!$C$3,Language!$E$1:$Z503,16,FALSE)</f>
        <v>Four 1 Gbps LC-type connector multi mode fiber 1000BASE-SX Ethernet for up to 0.5 km</v>
      </c>
      <c r="H45" s="180" t="s">
        <v>29</v>
      </c>
      <c r="I45" s="180"/>
      <c r="J45" s="180" t="s">
        <v>40</v>
      </c>
      <c r="K45" s="180" t="str">
        <f>HLOOKUP(Language!$C$3,Language!$E$1:$Z503,16,FALSE)</f>
        <v>Four 1 Gbps LC-type connector multi mode fiber 1000BASE-SX Ethernet for up to 0.5 km</v>
      </c>
      <c r="L45" s="180" t="s">
        <v>29</v>
      </c>
      <c r="M45" s="180"/>
      <c r="N45" s="180" t="s">
        <v>40</v>
      </c>
      <c r="O45" s="180" t="str">
        <f>HLOOKUP(Language!$C$3,Language!$E$1:$Z503,16,FALSE)</f>
        <v>Four 1 Gbps LC-type connector multi mode fiber 1000BASE-SX Ethernet for up to 0.5 km</v>
      </c>
      <c r="P45" s="180" t="s">
        <v>29</v>
      </c>
      <c r="Q45" s="180"/>
      <c r="R45" s="180" t="s">
        <v>40</v>
      </c>
      <c r="S45" s="180" t="str">
        <f>HLOOKUP(Language!$C$3,Language!$E$1:$Z503,16,FALSE)</f>
        <v>Four 1 Gbps LC-type connector multi mode fiber 1000BASE-SX Ethernet for up to 0.5 km</v>
      </c>
      <c r="T45" s="180" t="s">
        <v>29</v>
      </c>
      <c r="U45" s="180"/>
      <c r="V45" s="180" t="s">
        <v>40</v>
      </c>
      <c r="W45" s="262" t="str">
        <f>HLOOKUP(Language!$C$3,Language!$E$1:$Z503,16,FALSE)</f>
        <v>Four 1 Gbps LC-type connector multi mode fiber 1000BASE-SX Ethernet for up to 0.5 km</v>
      </c>
      <c r="X45" s="262" t="s">
        <v>29</v>
      </c>
      <c r="Y45" s="262"/>
      <c r="Z45" s="262" t="s">
        <v>40</v>
      </c>
      <c r="AA45" s="262" t="str">
        <f>HLOOKUP(Language!$C$3,Language!$E$1:$Z503,16,FALSE)</f>
        <v>Four 1 Gbps LC-type connector multi mode fiber 1000BASE-SX Ethernet for up to 0.5 km</v>
      </c>
      <c r="AB45" s="262" t="s">
        <v>29</v>
      </c>
      <c r="AC45" s="262"/>
      <c r="AD45" s="262" t="s">
        <v>40</v>
      </c>
    </row>
    <row r="46" spans="1:30">
      <c r="A46" s="179"/>
      <c r="B46" s="17"/>
      <c r="C46" s="180" t="str">
        <f>HLOOKUP(Language!$C$3,Language!$E$1:$Z504,17,FALSE)</f>
        <v>Four 1 Gbps LC-type connector single mode fiber 1000BASE-LX Ethernet for up to 10 km</v>
      </c>
      <c r="D46" s="180" t="s">
        <v>30</v>
      </c>
      <c r="E46" s="180"/>
      <c r="F46" s="180" t="s">
        <v>40</v>
      </c>
      <c r="G46" s="180" t="str">
        <f>HLOOKUP(Language!$C$3,Language!$E$1:$Z504,17,FALSE)</f>
        <v>Four 1 Gbps LC-type connector single mode fiber 1000BASE-LX Ethernet for up to 10 km</v>
      </c>
      <c r="H46" s="180" t="s">
        <v>30</v>
      </c>
      <c r="I46" s="180"/>
      <c r="J46" s="180" t="s">
        <v>40</v>
      </c>
      <c r="K46" s="180" t="str">
        <f>HLOOKUP(Language!$C$3,Language!$E$1:$Z504,17,FALSE)</f>
        <v>Four 1 Gbps LC-type connector single mode fiber 1000BASE-LX Ethernet for up to 10 km</v>
      </c>
      <c r="L46" s="180" t="s">
        <v>30</v>
      </c>
      <c r="M46" s="180"/>
      <c r="N46" s="180" t="s">
        <v>40</v>
      </c>
      <c r="O46" s="180" t="str">
        <f>HLOOKUP(Language!$C$3,Language!$E$1:$Z504,17,FALSE)</f>
        <v>Four 1 Gbps LC-type connector single mode fiber 1000BASE-LX Ethernet for up to 10 km</v>
      </c>
      <c r="P46" s="180" t="s">
        <v>30</v>
      </c>
      <c r="Q46" s="180"/>
      <c r="R46" s="180" t="s">
        <v>40</v>
      </c>
      <c r="S46" s="180" t="str">
        <f>HLOOKUP(Language!$C$3,Language!$E$1:$Z504,17,FALSE)</f>
        <v>Four 1 Gbps LC-type connector single mode fiber 1000BASE-LX Ethernet for up to 10 km</v>
      </c>
      <c r="T46" s="180" t="s">
        <v>30</v>
      </c>
      <c r="U46" s="180"/>
      <c r="V46" s="180" t="s">
        <v>40</v>
      </c>
      <c r="W46" s="262" t="str">
        <f>HLOOKUP(Language!$C$3,Language!$E$1:$Z504,17,FALSE)</f>
        <v>Four 1 Gbps LC-type connector single mode fiber 1000BASE-LX Ethernet for up to 10 km</v>
      </c>
      <c r="X46" s="262" t="s">
        <v>30</v>
      </c>
      <c r="Y46" s="262"/>
      <c r="Z46" s="262" t="s">
        <v>40</v>
      </c>
      <c r="AA46" s="262" t="str">
        <f>HLOOKUP(Language!$C$3,Language!$E$1:$Z504,17,FALSE)</f>
        <v>Four 1 Gbps LC-type connector single mode fiber 1000BASE-LX Ethernet for up to 10 km</v>
      </c>
      <c r="AB46" s="262" t="s">
        <v>30</v>
      </c>
      <c r="AC46" s="262"/>
      <c r="AD46" s="262" t="s">
        <v>40</v>
      </c>
    </row>
    <row r="47" spans="1:30">
      <c r="A47" s="179"/>
      <c r="B47" s="17"/>
      <c r="C47" s="180" t="str">
        <f>HLOOKUP(Language!$C$3,Language!$E$1:$Z505,18,FALSE)</f>
        <v>Four 1 Gbps LC-type connector single mode fiber 1000BASE-ZX Ethernet for up to 40 km</v>
      </c>
      <c r="D47" s="180" t="s">
        <v>41</v>
      </c>
      <c r="E47" s="180"/>
      <c r="F47" s="180" t="s">
        <v>40</v>
      </c>
      <c r="G47" s="180" t="str">
        <f>HLOOKUP(Language!$C$3,Language!$E$1:$Z505,18,FALSE)</f>
        <v>Four 1 Gbps LC-type connector single mode fiber 1000BASE-ZX Ethernet for up to 40 km</v>
      </c>
      <c r="H47" s="180" t="s">
        <v>41</v>
      </c>
      <c r="I47" s="180"/>
      <c r="J47" s="180" t="s">
        <v>40</v>
      </c>
      <c r="K47" s="180" t="str">
        <f>HLOOKUP(Language!$C$3,Language!$E$1:$Z505,18,FALSE)</f>
        <v>Four 1 Gbps LC-type connector single mode fiber 1000BASE-ZX Ethernet for up to 40 km</v>
      </c>
      <c r="L47" s="180" t="s">
        <v>41</v>
      </c>
      <c r="M47" s="180"/>
      <c r="N47" s="180" t="s">
        <v>40</v>
      </c>
      <c r="O47" s="180" t="str">
        <f>HLOOKUP(Language!$C$3,Language!$E$1:$Z505,18,FALSE)</f>
        <v>Four 1 Gbps LC-type connector single mode fiber 1000BASE-ZX Ethernet for up to 40 km</v>
      </c>
      <c r="P47" s="180" t="s">
        <v>41</v>
      </c>
      <c r="Q47" s="180"/>
      <c r="R47" s="180" t="s">
        <v>40</v>
      </c>
      <c r="S47" s="180" t="str">
        <f>HLOOKUP(Language!$C$3,Language!$E$1:$Z505,18,FALSE)</f>
        <v>Four 1 Gbps LC-type connector single mode fiber 1000BASE-ZX Ethernet for up to 40 km</v>
      </c>
      <c r="T47" s="180" t="s">
        <v>41</v>
      </c>
      <c r="U47" s="180"/>
      <c r="V47" s="180" t="s">
        <v>40</v>
      </c>
      <c r="W47" s="262" t="str">
        <f>HLOOKUP(Language!$C$3,Language!$E$1:$Z505,18,FALSE)</f>
        <v>Four 1 Gbps LC-type connector single mode fiber 1000BASE-ZX Ethernet for up to 40 km</v>
      </c>
      <c r="X47" s="262" t="s">
        <v>41</v>
      </c>
      <c r="Y47" s="262"/>
      <c r="Z47" s="262" t="s">
        <v>40</v>
      </c>
      <c r="AA47" s="262" t="str">
        <f>HLOOKUP(Language!$C$3,Language!$E$1:$Z505,18,FALSE)</f>
        <v>Four 1 Gbps LC-type connector single mode fiber 1000BASE-ZX Ethernet for up to 40 km</v>
      </c>
      <c r="AB47" s="262" t="s">
        <v>41</v>
      </c>
      <c r="AC47" s="262"/>
      <c r="AD47" s="262" t="s">
        <v>40</v>
      </c>
    </row>
    <row r="48" spans="1:30">
      <c r="A48" s="179"/>
      <c r="B48" s="17"/>
      <c r="C48" s="180" t="str">
        <f>HLOOKUP(Language!$C$3,Language!$E$1:$Z506,19,FALSE)</f>
        <v>Four 1 Gbps LC-type connector single mode fiber 1000BASE-ZX Ethernet for up to 80 km</v>
      </c>
      <c r="D48" s="180" t="s">
        <v>42</v>
      </c>
      <c r="E48" s="180"/>
      <c r="F48" s="180" t="s">
        <v>40</v>
      </c>
      <c r="G48" s="180" t="str">
        <f>HLOOKUP(Language!$C$3,Language!$E$1:$Z506,19,FALSE)</f>
        <v>Four 1 Gbps LC-type connector single mode fiber 1000BASE-ZX Ethernet for up to 80 km</v>
      </c>
      <c r="H48" s="180" t="s">
        <v>42</v>
      </c>
      <c r="I48" s="180"/>
      <c r="J48" s="180" t="s">
        <v>40</v>
      </c>
      <c r="K48" s="180" t="str">
        <f>HLOOKUP(Language!$C$3,Language!$E$1:$Z506,19,FALSE)</f>
        <v>Four 1 Gbps LC-type connector single mode fiber 1000BASE-ZX Ethernet for up to 80 km</v>
      </c>
      <c r="L48" s="180" t="s">
        <v>42</v>
      </c>
      <c r="M48" s="180"/>
      <c r="N48" s="180" t="s">
        <v>40</v>
      </c>
      <c r="O48" s="180" t="str">
        <f>HLOOKUP(Language!$C$3,Language!$E$1:$Z506,19,FALSE)</f>
        <v>Four 1 Gbps LC-type connector single mode fiber 1000BASE-ZX Ethernet for up to 80 km</v>
      </c>
      <c r="P48" s="180" t="s">
        <v>42</v>
      </c>
      <c r="Q48" s="180"/>
      <c r="R48" s="180" t="s">
        <v>40</v>
      </c>
      <c r="S48" s="180" t="str">
        <f>HLOOKUP(Language!$C$3,Language!$E$1:$Z506,19,FALSE)</f>
        <v>Four 1 Gbps LC-type connector single mode fiber 1000BASE-ZX Ethernet for up to 80 km</v>
      </c>
      <c r="T48" s="180" t="s">
        <v>42</v>
      </c>
      <c r="U48" s="180"/>
      <c r="V48" s="180" t="s">
        <v>40</v>
      </c>
      <c r="W48" s="262" t="str">
        <f>HLOOKUP(Language!$C$3,Language!$E$1:$Z506,19,FALSE)</f>
        <v>Four 1 Gbps LC-type connector single mode fiber 1000BASE-ZX Ethernet for up to 80 km</v>
      </c>
      <c r="X48" s="262" t="s">
        <v>42</v>
      </c>
      <c r="Y48" s="262"/>
      <c r="Z48" s="262" t="s">
        <v>40</v>
      </c>
      <c r="AA48" s="262" t="str">
        <f>HLOOKUP(Language!$C$3,Language!$E$1:$Z506,19,FALSE)</f>
        <v>Four 1 Gbps LC-type connector single mode fiber 1000BASE-ZX Ethernet for up to 80 km</v>
      </c>
      <c r="AB48" s="262" t="s">
        <v>42</v>
      </c>
      <c r="AC48" s="262"/>
      <c r="AD48" s="262" t="s">
        <v>40</v>
      </c>
    </row>
    <row r="49" spans="1:30">
      <c r="A49" s="179"/>
      <c r="B49" s="17"/>
      <c r="C49" s="180" t="str">
        <f>HLOOKUP(Language!$C$3,Language!$E$1:$Z507,20,FALSE)</f>
        <v>Four 100 Mbps LC-type connector multi mode fiber 100BASE-FX Ethernet for up to 2 km</v>
      </c>
      <c r="D49" s="180" t="s">
        <v>43</v>
      </c>
      <c r="E49" s="180"/>
      <c r="F49" s="180" t="s">
        <v>40</v>
      </c>
      <c r="G49" s="180" t="str">
        <f>HLOOKUP(Language!$C$3,Language!$E$1:$Z507,20,FALSE)</f>
        <v>Four 100 Mbps LC-type connector multi mode fiber 100BASE-FX Ethernet for up to 2 km</v>
      </c>
      <c r="H49" s="180" t="s">
        <v>43</v>
      </c>
      <c r="I49" s="180"/>
      <c r="J49" s="180" t="s">
        <v>40</v>
      </c>
      <c r="K49" s="180" t="str">
        <f>HLOOKUP(Language!$C$3,Language!$E$1:$Z507,20,FALSE)</f>
        <v>Four 100 Mbps LC-type connector multi mode fiber 100BASE-FX Ethernet for up to 2 km</v>
      </c>
      <c r="L49" s="180" t="s">
        <v>43</v>
      </c>
      <c r="M49" s="180"/>
      <c r="N49" s="180" t="s">
        <v>40</v>
      </c>
      <c r="O49" s="180" t="str">
        <f>HLOOKUP(Language!$C$3,Language!$E$1:$Z507,20,FALSE)</f>
        <v>Four 100 Mbps LC-type connector multi mode fiber 100BASE-FX Ethernet for up to 2 km</v>
      </c>
      <c r="P49" s="180" t="s">
        <v>43</v>
      </c>
      <c r="Q49" s="180"/>
      <c r="R49" s="180" t="s">
        <v>40</v>
      </c>
      <c r="S49" s="180" t="str">
        <f>HLOOKUP(Language!$C$3,Language!$E$1:$Z507,20,FALSE)</f>
        <v>Four 100 Mbps LC-type connector multi mode fiber 100BASE-FX Ethernet for up to 2 km</v>
      </c>
      <c r="T49" s="180" t="s">
        <v>43</v>
      </c>
      <c r="U49" s="180"/>
      <c r="V49" s="180" t="s">
        <v>40</v>
      </c>
      <c r="W49" s="262" t="str">
        <f>HLOOKUP(Language!$C$3,Language!$E$1:$Z507,20,FALSE)</f>
        <v>Four 100 Mbps LC-type connector multi mode fiber 100BASE-FX Ethernet for up to 2 km</v>
      </c>
      <c r="X49" s="262" t="s">
        <v>43</v>
      </c>
      <c r="Y49" s="262"/>
      <c r="Z49" s="262" t="s">
        <v>40</v>
      </c>
      <c r="AA49" s="262" t="str">
        <f>HLOOKUP(Language!$C$3,Language!$E$1:$Z507,20,FALSE)</f>
        <v>Four 100 Mbps LC-type connector multi mode fiber 100BASE-FX Ethernet for up to 2 km</v>
      </c>
      <c r="AB49" s="262" t="s">
        <v>43</v>
      </c>
      <c r="AC49" s="262"/>
      <c r="AD49" s="262" t="s">
        <v>40</v>
      </c>
    </row>
    <row r="50" spans="1:30">
      <c r="A50" s="179"/>
      <c r="B50" s="17"/>
      <c r="C50" s="180" t="str">
        <f>HLOOKUP(Language!$C$3,Language!$E$1:$Z526,21,FALSE)</f>
        <v>Four RJ45 copper 10/100BASE-TX</v>
      </c>
      <c r="D50" s="180" t="s">
        <v>120</v>
      </c>
      <c r="E50" s="180"/>
      <c r="F50" s="180" t="s">
        <v>40</v>
      </c>
      <c r="G50" s="180" t="str">
        <f>HLOOKUP(Language!$C$3,Language!$E$1:$Z486,22,FALSE)</f>
        <v>Not installed</v>
      </c>
      <c r="H50" s="180" t="s">
        <v>28</v>
      </c>
      <c r="I50" s="180"/>
      <c r="J50" s="180" t="s">
        <v>40</v>
      </c>
      <c r="K50" s="180" t="str">
        <f>HLOOKUP(Language!$C$3,Language!$E$1:$Z526,21,FALSE)</f>
        <v>Four RJ45 copper 10/100BASE-TX</v>
      </c>
      <c r="L50" s="180" t="s">
        <v>120</v>
      </c>
      <c r="M50" s="180"/>
      <c r="N50" s="180" t="s">
        <v>40</v>
      </c>
      <c r="O50" s="180" t="str">
        <f>HLOOKUP(Language!$C$3,Language!$E$1:$Z526,21,FALSE)</f>
        <v>Four RJ45 copper 10/100BASE-TX</v>
      </c>
      <c r="P50" s="180" t="s">
        <v>120</v>
      </c>
      <c r="Q50" s="180"/>
      <c r="R50" s="180" t="s">
        <v>40</v>
      </c>
      <c r="S50" s="180" t="str">
        <f>HLOOKUP(Language!$C$3,Language!$E$1:$Z526,21,FALSE)</f>
        <v>Four RJ45 copper 10/100BASE-TX</v>
      </c>
      <c r="T50" s="180" t="s">
        <v>120</v>
      </c>
      <c r="U50" s="180"/>
      <c r="V50" s="180" t="s">
        <v>40</v>
      </c>
      <c r="W50" s="262" t="str">
        <f>HLOOKUP(Language!$C$3,Language!$E$1:$Z526,21,FALSE)</f>
        <v>Four RJ45 copper 10/100BASE-TX</v>
      </c>
      <c r="X50" s="262" t="s">
        <v>120</v>
      </c>
      <c r="Y50" s="262"/>
      <c r="Z50" s="262" t="s">
        <v>40</v>
      </c>
      <c r="AA50" s="262" t="str">
        <f>HLOOKUP(Language!$C$3,Language!$E$1:$Z526,21,FALSE)</f>
        <v>Four RJ45 copper 10/100BASE-TX</v>
      </c>
      <c r="AB50" s="262" t="s">
        <v>120</v>
      </c>
      <c r="AC50" s="262"/>
      <c r="AD50" s="262" t="s">
        <v>40</v>
      </c>
    </row>
    <row r="51" spans="1:30">
      <c r="A51" s="179"/>
      <c r="B51" s="17"/>
      <c r="C51" s="192" t="str">
        <f>HLOOKUP(Language!$C$3,Language!$E$1:$Z519,49,FALSE)</f>
        <v>Four 1 Gbps RJ45 SFP Transceivers 10/100BASE-TX/1000BASE-T Ethernet ports (Not CE marked)</v>
      </c>
      <c r="D51" s="180" t="s">
        <v>114</v>
      </c>
      <c r="E51" s="180"/>
      <c r="F51" s="180" t="s">
        <v>40</v>
      </c>
      <c r="G51" s="192"/>
      <c r="H51" s="180"/>
      <c r="I51" s="180"/>
      <c r="J51" s="180"/>
      <c r="K51" s="192" t="str">
        <f>HLOOKUP(Language!$C$3,Language!$E$1:$Z519,49,FALSE)</f>
        <v>Four 1 Gbps RJ45 SFP Transceivers 10/100BASE-TX/1000BASE-T Ethernet ports (Not CE marked)</v>
      </c>
      <c r="L51" s="180" t="s">
        <v>114</v>
      </c>
      <c r="M51" s="180"/>
      <c r="N51" s="180" t="s">
        <v>40</v>
      </c>
      <c r="O51" s="192" t="str">
        <f>HLOOKUP(Language!$C$3,Language!$E$1:$Z519,49,FALSE)</f>
        <v>Four 1 Gbps RJ45 SFP Transceivers 10/100BASE-TX/1000BASE-T Ethernet ports (Not CE marked)</v>
      </c>
      <c r="P51" s="180" t="s">
        <v>114</v>
      </c>
      <c r="Q51" s="180"/>
      <c r="R51" s="180" t="s">
        <v>40</v>
      </c>
      <c r="S51" s="192" t="str">
        <f>HLOOKUP(Language!$C$3,Language!$E$1:$Z519,49,FALSE)</f>
        <v>Four 1 Gbps RJ45 SFP Transceivers 10/100BASE-TX/1000BASE-T Ethernet ports (Not CE marked)</v>
      </c>
      <c r="T51" s="180" t="s">
        <v>114</v>
      </c>
      <c r="U51" s="180"/>
      <c r="V51" s="180" t="s">
        <v>40</v>
      </c>
      <c r="W51" s="192" t="str">
        <f>HLOOKUP(Language!$C$3,Language!$E$1:$Z519,49,FALSE)</f>
        <v>Four 1 Gbps RJ45 SFP Transceivers 10/100BASE-TX/1000BASE-T Ethernet ports (Not CE marked)</v>
      </c>
      <c r="X51" s="262" t="s">
        <v>114</v>
      </c>
      <c r="Y51" s="262"/>
      <c r="Z51" s="262" t="s">
        <v>40</v>
      </c>
      <c r="AA51" s="262" t="str">
        <f>HLOOKUP(Language!$C$3,Language!$E$1:$Z488,22,FALSE)</f>
        <v>Not installed</v>
      </c>
      <c r="AB51" s="262" t="s">
        <v>28</v>
      </c>
      <c r="AC51" s="262"/>
      <c r="AD51" s="262" t="s">
        <v>40</v>
      </c>
    </row>
    <row r="52" spans="1:30" ht="24">
      <c r="A52" s="179"/>
      <c r="B52" s="17"/>
      <c r="C52" s="180" t="str">
        <f>HLOOKUP(Language!$C$3,Language!$E$1:$Z488,22,FALSE)</f>
        <v>Not installed</v>
      </c>
      <c r="D52" s="180" t="s">
        <v>28</v>
      </c>
      <c r="E52" s="180"/>
      <c r="F52" s="180" t="s">
        <v>40</v>
      </c>
      <c r="G52" s="180"/>
      <c r="H52" s="180"/>
      <c r="I52" s="180"/>
      <c r="J52" s="180"/>
      <c r="K52" s="180" t="str">
        <f>HLOOKUP(Language!$C$3,Language!$E$1:$Z488,22,FALSE)</f>
        <v>Not installed</v>
      </c>
      <c r="L52" s="180" t="s">
        <v>28</v>
      </c>
      <c r="M52" s="180"/>
      <c r="N52" s="180" t="s">
        <v>40</v>
      </c>
      <c r="O52" s="180" t="str">
        <f>HLOOKUP(Language!$C$3,Language!$E$1:$Z488,22,FALSE)</f>
        <v>Not installed</v>
      </c>
      <c r="P52" s="180" t="s">
        <v>28</v>
      </c>
      <c r="Q52" s="180"/>
      <c r="R52" s="180" t="s">
        <v>40</v>
      </c>
      <c r="S52" s="180" t="str">
        <f>HLOOKUP(Language!$C$3,Language!$E$1:$Z488,22,FALSE)</f>
        <v>Not installed</v>
      </c>
      <c r="T52" s="180" t="s">
        <v>28</v>
      </c>
      <c r="U52" s="180"/>
      <c r="V52" s="180" t="s">
        <v>40</v>
      </c>
      <c r="W52" s="262" t="str">
        <f>HLOOKUP(Language!$C$3,Language!$E$1:$Z488,22,FALSE)</f>
        <v>Not installed</v>
      </c>
      <c r="X52" s="262" t="s">
        <v>28</v>
      </c>
      <c r="Y52" s="262"/>
      <c r="Z52" s="262" t="s">
        <v>40</v>
      </c>
      <c r="AA52" s="192" t="str">
        <f>HLOOKUP(Language!$C$3,Language!$E$1:$Z527,70,FALSE)</f>
        <v>Four 1 Gbps RJ45 SFP Transceivers 10/100BASE-TX/1000BASE-T Ethernet ports (Not CE marked) (Withdraw)</v>
      </c>
      <c r="AB52" s="262" t="s">
        <v>114</v>
      </c>
      <c r="AC52" s="262"/>
      <c r="AD52" s="262" t="s">
        <v>40</v>
      </c>
    </row>
    <row r="53" spans="1:30">
      <c r="A53" s="181"/>
      <c r="B53" s="23"/>
      <c r="C53" s="182"/>
      <c r="D53" s="182"/>
      <c r="E53" s="182"/>
      <c r="F53" s="182"/>
      <c r="G53" s="182"/>
      <c r="H53" s="182"/>
      <c r="I53" s="182"/>
      <c r="J53" s="182"/>
      <c r="K53" s="182"/>
      <c r="L53" s="182"/>
      <c r="M53" s="182"/>
      <c r="N53" s="182"/>
      <c r="O53" s="182"/>
      <c r="P53" s="182"/>
      <c r="Q53" s="182"/>
      <c r="R53" s="182"/>
      <c r="S53" s="182"/>
      <c r="T53" s="182"/>
      <c r="U53" s="182"/>
      <c r="V53" s="182"/>
      <c r="W53" s="263"/>
      <c r="X53" s="263"/>
      <c r="Y53" s="263"/>
      <c r="Z53" s="263"/>
      <c r="AA53" s="263"/>
      <c r="AB53" s="263"/>
      <c r="AC53" s="263"/>
      <c r="AD53" s="263"/>
    </row>
    <row r="54" spans="1:30">
      <c r="A54" s="177">
        <v>7</v>
      </c>
      <c r="B54" s="16" t="str">
        <f>HLOOKUP(Language!$C$3,Language!$E$1:$Z510,12,FALSE)</f>
        <v>Interface Module 4</v>
      </c>
      <c r="C54" s="178" t="str">
        <f>HLOOKUP(Language!$C$3,Language!$E$1:$Z512,14,FALSE)</f>
        <v>Four 1 Gbps RJ45 copper 10/100BASE-TX/1000BASE-T Ethernet ports</v>
      </c>
      <c r="D54" s="178" t="s">
        <v>26</v>
      </c>
      <c r="E54" s="178"/>
      <c r="F54" s="178" t="s">
        <v>40</v>
      </c>
      <c r="G54" s="178" t="str">
        <f>HLOOKUP(Language!$C$3,Language!$E$1:$Z512,14,FALSE)</f>
        <v>Four 1 Gbps RJ45 copper 10/100BASE-TX/1000BASE-T Ethernet ports</v>
      </c>
      <c r="H54" s="178" t="s">
        <v>26</v>
      </c>
      <c r="I54" s="178"/>
      <c r="J54" s="178" t="s">
        <v>40</v>
      </c>
      <c r="K54" s="178" t="str">
        <f>HLOOKUP(Language!$C$3,Language!$E$1:$Z512,14,FALSE)</f>
        <v>Four 1 Gbps RJ45 copper 10/100BASE-TX/1000BASE-T Ethernet ports</v>
      </c>
      <c r="L54" s="178" t="s">
        <v>26</v>
      </c>
      <c r="M54" s="178"/>
      <c r="N54" s="178" t="s">
        <v>40</v>
      </c>
      <c r="O54" s="178" t="str">
        <f>HLOOKUP(Language!$C$3,Language!$E$1:$Z512,14,FALSE)</f>
        <v>Four 1 Gbps RJ45 copper 10/100BASE-TX/1000BASE-T Ethernet ports</v>
      </c>
      <c r="P54" s="178" t="s">
        <v>26</v>
      </c>
      <c r="Q54" s="178"/>
      <c r="R54" s="178" t="s">
        <v>40</v>
      </c>
      <c r="S54" s="178" t="str">
        <f>HLOOKUP(Language!$C$3,Language!$E$1:$Z512,14,FALSE)</f>
        <v>Four 1 Gbps RJ45 copper 10/100BASE-TX/1000BASE-T Ethernet ports</v>
      </c>
      <c r="T54" s="178" t="s">
        <v>26</v>
      </c>
      <c r="U54" s="178"/>
      <c r="V54" s="178" t="s">
        <v>40</v>
      </c>
      <c r="W54" s="261" t="str">
        <f>HLOOKUP(Language!$C$3,Language!$E$1:$Z512,14,FALSE)</f>
        <v>Four 1 Gbps RJ45 copper 10/100BASE-TX/1000BASE-T Ethernet ports</v>
      </c>
      <c r="X54" s="261" t="s">
        <v>26</v>
      </c>
      <c r="Y54" s="261"/>
      <c r="Z54" s="261" t="s">
        <v>40</v>
      </c>
      <c r="AA54" s="261" t="str">
        <f>HLOOKUP(Language!$C$3,Language!$E$1:$Z512,14,FALSE)</f>
        <v>Four 1 Gbps RJ45 copper 10/100BASE-TX/1000BASE-T Ethernet ports</v>
      </c>
      <c r="AB54" s="261" t="s">
        <v>26</v>
      </c>
      <c r="AC54" s="261"/>
      <c r="AD54" s="261" t="s">
        <v>40</v>
      </c>
    </row>
    <row r="55" spans="1:30">
      <c r="A55" s="179"/>
      <c r="B55" s="17"/>
      <c r="C55" s="122" t="str">
        <f>HLOOKUP(Language!$C$3,Language!$E$1:$Z512,15,FALSE)</f>
        <v>Four slots for SFP transceivers</v>
      </c>
      <c r="D55" s="180" t="s">
        <v>27</v>
      </c>
      <c r="E55" s="122"/>
      <c r="F55" s="180" t="s">
        <v>40</v>
      </c>
      <c r="G55" s="122" t="str">
        <f>HLOOKUP(Language!$C$3,Language!$E$1:$Z512,15,FALSE)</f>
        <v>Four slots for SFP transceivers</v>
      </c>
      <c r="H55" s="180" t="s">
        <v>27</v>
      </c>
      <c r="I55" s="122"/>
      <c r="J55" s="180" t="s">
        <v>40</v>
      </c>
      <c r="K55" s="122" t="str">
        <f>HLOOKUP(Language!$C$3,Language!$E$1:$Z512,15,FALSE)</f>
        <v>Four slots for SFP transceivers</v>
      </c>
      <c r="L55" s="180" t="s">
        <v>27</v>
      </c>
      <c r="M55" s="122"/>
      <c r="N55" s="180" t="s">
        <v>40</v>
      </c>
      <c r="O55" s="122" t="str">
        <f>HLOOKUP(Language!$C$3,Language!$E$1:$Z512,15,FALSE)</f>
        <v>Four slots for SFP transceivers</v>
      </c>
      <c r="P55" s="180" t="s">
        <v>27</v>
      </c>
      <c r="Q55" s="122"/>
      <c r="R55" s="180" t="s">
        <v>40</v>
      </c>
      <c r="S55" s="122" t="str">
        <f>HLOOKUP(Language!$C$3,Language!$E$1:$Z512,15,FALSE)</f>
        <v>Four slots for SFP transceivers</v>
      </c>
      <c r="T55" s="180" t="s">
        <v>27</v>
      </c>
      <c r="U55" s="122"/>
      <c r="V55" s="180" t="s">
        <v>40</v>
      </c>
      <c r="W55" s="122" t="str">
        <f>HLOOKUP(Language!$C$3,Language!$E$1:$Z512,15,FALSE)</f>
        <v>Four slots for SFP transceivers</v>
      </c>
      <c r="X55" s="262" t="s">
        <v>27</v>
      </c>
      <c r="Y55" s="122"/>
      <c r="Z55" s="262" t="s">
        <v>40</v>
      </c>
      <c r="AA55" s="122" t="str">
        <f>HLOOKUP(Language!$C$3,Language!$E$1:$Z512,15,FALSE)</f>
        <v>Four slots for SFP transceivers</v>
      </c>
      <c r="AB55" s="262" t="s">
        <v>27</v>
      </c>
      <c r="AC55" s="122"/>
      <c r="AD55" s="262" t="s">
        <v>40</v>
      </c>
    </row>
    <row r="56" spans="1:30">
      <c r="A56" s="179"/>
      <c r="B56" s="17"/>
      <c r="C56" s="180" t="str">
        <f>HLOOKUP(Language!$C$3,Language!$E$1:$Z513,16,FALSE)</f>
        <v>Four 1 Gbps LC-type connector multi mode fiber 1000BASE-SX Ethernet for up to 0.5 km</v>
      </c>
      <c r="D56" s="180" t="s">
        <v>29</v>
      </c>
      <c r="E56" s="180"/>
      <c r="F56" s="180" t="s">
        <v>40</v>
      </c>
      <c r="G56" s="180" t="str">
        <f>HLOOKUP(Language!$C$3,Language!$E$1:$Z513,16,FALSE)</f>
        <v>Four 1 Gbps LC-type connector multi mode fiber 1000BASE-SX Ethernet for up to 0.5 km</v>
      </c>
      <c r="H56" s="180" t="s">
        <v>29</v>
      </c>
      <c r="I56" s="180"/>
      <c r="J56" s="180" t="s">
        <v>40</v>
      </c>
      <c r="K56" s="180" t="str">
        <f>HLOOKUP(Language!$C$3,Language!$E$1:$Z513,16,FALSE)</f>
        <v>Four 1 Gbps LC-type connector multi mode fiber 1000BASE-SX Ethernet for up to 0.5 km</v>
      </c>
      <c r="L56" s="180" t="s">
        <v>29</v>
      </c>
      <c r="M56" s="180"/>
      <c r="N56" s="180" t="s">
        <v>40</v>
      </c>
      <c r="O56" s="180" t="str">
        <f>HLOOKUP(Language!$C$3,Language!$E$1:$Z513,16,FALSE)</f>
        <v>Four 1 Gbps LC-type connector multi mode fiber 1000BASE-SX Ethernet for up to 0.5 km</v>
      </c>
      <c r="P56" s="180" t="s">
        <v>29</v>
      </c>
      <c r="Q56" s="180"/>
      <c r="R56" s="180" t="s">
        <v>40</v>
      </c>
      <c r="S56" s="180" t="str">
        <f>HLOOKUP(Language!$C$3,Language!$E$1:$Z513,16,FALSE)</f>
        <v>Four 1 Gbps LC-type connector multi mode fiber 1000BASE-SX Ethernet for up to 0.5 km</v>
      </c>
      <c r="T56" s="180" t="s">
        <v>29</v>
      </c>
      <c r="U56" s="180"/>
      <c r="V56" s="180" t="s">
        <v>40</v>
      </c>
      <c r="W56" s="262" t="str">
        <f>HLOOKUP(Language!$C$3,Language!$E$1:$Z513,16,FALSE)</f>
        <v>Four 1 Gbps LC-type connector multi mode fiber 1000BASE-SX Ethernet for up to 0.5 km</v>
      </c>
      <c r="X56" s="262" t="s">
        <v>29</v>
      </c>
      <c r="Y56" s="262"/>
      <c r="Z56" s="262" t="s">
        <v>40</v>
      </c>
      <c r="AA56" s="262" t="str">
        <f>HLOOKUP(Language!$C$3,Language!$E$1:$Z513,16,FALSE)</f>
        <v>Four 1 Gbps LC-type connector multi mode fiber 1000BASE-SX Ethernet for up to 0.5 km</v>
      </c>
      <c r="AB56" s="262" t="s">
        <v>29</v>
      </c>
      <c r="AC56" s="262"/>
      <c r="AD56" s="262" t="s">
        <v>40</v>
      </c>
    </row>
    <row r="57" spans="1:30">
      <c r="A57" s="179"/>
      <c r="B57" s="17"/>
      <c r="C57" s="180" t="str">
        <f>HLOOKUP(Language!$C$3,Language!$E$1:$Z514,17,FALSE)</f>
        <v>Four 1 Gbps LC-type connector single mode fiber 1000BASE-LX Ethernet for up to 10 km</v>
      </c>
      <c r="D57" s="180" t="s">
        <v>30</v>
      </c>
      <c r="E57" s="180"/>
      <c r="F57" s="180" t="s">
        <v>40</v>
      </c>
      <c r="G57" s="180" t="str">
        <f>HLOOKUP(Language!$C$3,Language!$E$1:$Z514,17,FALSE)</f>
        <v>Four 1 Gbps LC-type connector single mode fiber 1000BASE-LX Ethernet for up to 10 km</v>
      </c>
      <c r="H57" s="180" t="s">
        <v>30</v>
      </c>
      <c r="I57" s="180"/>
      <c r="J57" s="180" t="s">
        <v>40</v>
      </c>
      <c r="K57" s="180" t="str">
        <f>HLOOKUP(Language!$C$3,Language!$E$1:$Z514,17,FALSE)</f>
        <v>Four 1 Gbps LC-type connector single mode fiber 1000BASE-LX Ethernet for up to 10 km</v>
      </c>
      <c r="L57" s="180" t="s">
        <v>30</v>
      </c>
      <c r="M57" s="180"/>
      <c r="N57" s="180" t="s">
        <v>40</v>
      </c>
      <c r="O57" s="180" t="str">
        <f>HLOOKUP(Language!$C$3,Language!$E$1:$Z514,17,FALSE)</f>
        <v>Four 1 Gbps LC-type connector single mode fiber 1000BASE-LX Ethernet for up to 10 km</v>
      </c>
      <c r="P57" s="180" t="s">
        <v>30</v>
      </c>
      <c r="Q57" s="180"/>
      <c r="R57" s="180" t="s">
        <v>40</v>
      </c>
      <c r="S57" s="180" t="str">
        <f>HLOOKUP(Language!$C$3,Language!$E$1:$Z514,17,FALSE)</f>
        <v>Four 1 Gbps LC-type connector single mode fiber 1000BASE-LX Ethernet for up to 10 km</v>
      </c>
      <c r="T57" s="180" t="s">
        <v>30</v>
      </c>
      <c r="U57" s="180"/>
      <c r="V57" s="180" t="s">
        <v>40</v>
      </c>
      <c r="W57" s="262" t="str">
        <f>HLOOKUP(Language!$C$3,Language!$E$1:$Z514,17,FALSE)</f>
        <v>Four 1 Gbps LC-type connector single mode fiber 1000BASE-LX Ethernet for up to 10 km</v>
      </c>
      <c r="X57" s="262" t="s">
        <v>30</v>
      </c>
      <c r="Y57" s="262"/>
      <c r="Z57" s="262" t="s">
        <v>40</v>
      </c>
      <c r="AA57" s="262" t="str">
        <f>HLOOKUP(Language!$C$3,Language!$E$1:$Z514,17,FALSE)</f>
        <v>Four 1 Gbps LC-type connector single mode fiber 1000BASE-LX Ethernet for up to 10 km</v>
      </c>
      <c r="AB57" s="262" t="s">
        <v>30</v>
      </c>
      <c r="AC57" s="262"/>
      <c r="AD57" s="262" t="s">
        <v>40</v>
      </c>
    </row>
    <row r="58" spans="1:30">
      <c r="A58" s="179"/>
      <c r="B58" s="17"/>
      <c r="C58" s="180" t="str">
        <f>HLOOKUP(Language!$C$3,Language!$E$1:$Z515,18,FALSE)</f>
        <v>Four 1 Gbps LC-type connector single mode fiber 1000BASE-ZX Ethernet for up to 40 km</v>
      </c>
      <c r="D58" s="180" t="s">
        <v>41</v>
      </c>
      <c r="E58" s="180"/>
      <c r="F58" s="180" t="s">
        <v>40</v>
      </c>
      <c r="G58" s="180" t="str">
        <f>HLOOKUP(Language!$C$3,Language!$E$1:$Z515,18,FALSE)</f>
        <v>Four 1 Gbps LC-type connector single mode fiber 1000BASE-ZX Ethernet for up to 40 km</v>
      </c>
      <c r="H58" s="180" t="s">
        <v>41</v>
      </c>
      <c r="I58" s="180"/>
      <c r="J58" s="180" t="s">
        <v>40</v>
      </c>
      <c r="K58" s="180" t="str">
        <f>HLOOKUP(Language!$C$3,Language!$E$1:$Z515,18,FALSE)</f>
        <v>Four 1 Gbps LC-type connector single mode fiber 1000BASE-ZX Ethernet for up to 40 km</v>
      </c>
      <c r="L58" s="180" t="s">
        <v>41</v>
      </c>
      <c r="M58" s="180"/>
      <c r="N58" s="180" t="s">
        <v>40</v>
      </c>
      <c r="O58" s="180" t="str">
        <f>HLOOKUP(Language!$C$3,Language!$E$1:$Z515,18,FALSE)</f>
        <v>Four 1 Gbps LC-type connector single mode fiber 1000BASE-ZX Ethernet for up to 40 km</v>
      </c>
      <c r="P58" s="180" t="s">
        <v>41</v>
      </c>
      <c r="Q58" s="180"/>
      <c r="R58" s="180" t="s">
        <v>40</v>
      </c>
      <c r="S58" s="180" t="str">
        <f>HLOOKUP(Language!$C$3,Language!$E$1:$Z515,18,FALSE)</f>
        <v>Four 1 Gbps LC-type connector single mode fiber 1000BASE-ZX Ethernet for up to 40 km</v>
      </c>
      <c r="T58" s="180" t="s">
        <v>41</v>
      </c>
      <c r="U58" s="180"/>
      <c r="V58" s="180" t="s">
        <v>40</v>
      </c>
      <c r="W58" s="262" t="str">
        <f>HLOOKUP(Language!$C$3,Language!$E$1:$Z515,18,FALSE)</f>
        <v>Four 1 Gbps LC-type connector single mode fiber 1000BASE-ZX Ethernet for up to 40 km</v>
      </c>
      <c r="X58" s="262" t="s">
        <v>41</v>
      </c>
      <c r="Y58" s="262"/>
      <c r="Z58" s="262" t="s">
        <v>40</v>
      </c>
      <c r="AA58" s="262" t="str">
        <f>HLOOKUP(Language!$C$3,Language!$E$1:$Z515,18,FALSE)</f>
        <v>Four 1 Gbps LC-type connector single mode fiber 1000BASE-ZX Ethernet for up to 40 km</v>
      </c>
      <c r="AB58" s="262" t="s">
        <v>41</v>
      </c>
      <c r="AC58" s="262"/>
      <c r="AD58" s="262" t="s">
        <v>40</v>
      </c>
    </row>
    <row r="59" spans="1:30">
      <c r="A59" s="179"/>
      <c r="B59" s="17"/>
      <c r="C59" s="180" t="str">
        <f>HLOOKUP(Language!$C$3,Language!$E$1:$Z516,19,FALSE)</f>
        <v>Four 1 Gbps LC-type connector single mode fiber 1000BASE-ZX Ethernet for up to 80 km</v>
      </c>
      <c r="D59" s="180" t="s">
        <v>42</v>
      </c>
      <c r="E59" s="180"/>
      <c r="F59" s="180" t="s">
        <v>40</v>
      </c>
      <c r="G59" s="180" t="str">
        <f>HLOOKUP(Language!$C$3,Language!$E$1:$Z516,19,FALSE)</f>
        <v>Four 1 Gbps LC-type connector single mode fiber 1000BASE-ZX Ethernet for up to 80 km</v>
      </c>
      <c r="H59" s="180" t="s">
        <v>42</v>
      </c>
      <c r="I59" s="180"/>
      <c r="J59" s="180" t="s">
        <v>40</v>
      </c>
      <c r="K59" s="180" t="str">
        <f>HLOOKUP(Language!$C$3,Language!$E$1:$Z516,19,FALSE)</f>
        <v>Four 1 Gbps LC-type connector single mode fiber 1000BASE-ZX Ethernet for up to 80 km</v>
      </c>
      <c r="L59" s="180" t="s">
        <v>42</v>
      </c>
      <c r="M59" s="180"/>
      <c r="N59" s="180" t="s">
        <v>40</v>
      </c>
      <c r="O59" s="180" t="str">
        <f>HLOOKUP(Language!$C$3,Language!$E$1:$Z516,19,FALSE)</f>
        <v>Four 1 Gbps LC-type connector single mode fiber 1000BASE-ZX Ethernet for up to 80 km</v>
      </c>
      <c r="P59" s="180" t="s">
        <v>42</v>
      </c>
      <c r="Q59" s="180"/>
      <c r="R59" s="180" t="s">
        <v>40</v>
      </c>
      <c r="S59" s="180" t="str">
        <f>HLOOKUP(Language!$C$3,Language!$E$1:$Z516,19,FALSE)</f>
        <v>Four 1 Gbps LC-type connector single mode fiber 1000BASE-ZX Ethernet for up to 80 km</v>
      </c>
      <c r="T59" s="180" t="s">
        <v>42</v>
      </c>
      <c r="U59" s="180"/>
      <c r="V59" s="180" t="s">
        <v>40</v>
      </c>
      <c r="W59" s="262" t="str">
        <f>HLOOKUP(Language!$C$3,Language!$E$1:$Z516,19,FALSE)</f>
        <v>Four 1 Gbps LC-type connector single mode fiber 1000BASE-ZX Ethernet for up to 80 km</v>
      </c>
      <c r="X59" s="262" t="s">
        <v>42</v>
      </c>
      <c r="Y59" s="262"/>
      <c r="Z59" s="262" t="s">
        <v>40</v>
      </c>
      <c r="AA59" s="262" t="str">
        <f>HLOOKUP(Language!$C$3,Language!$E$1:$Z516,19,FALSE)</f>
        <v>Four 1 Gbps LC-type connector single mode fiber 1000BASE-ZX Ethernet for up to 80 km</v>
      </c>
      <c r="AB59" s="262" t="s">
        <v>42</v>
      </c>
      <c r="AC59" s="262"/>
      <c r="AD59" s="262" t="s">
        <v>40</v>
      </c>
    </row>
    <row r="60" spans="1:30">
      <c r="A60" s="179"/>
      <c r="B60" s="17"/>
      <c r="C60" s="180" t="str">
        <f>HLOOKUP(Language!$C$3,Language!$E$1:$Z517,20,FALSE)</f>
        <v>Four 100 Mbps LC-type connector multi mode fiber 100BASE-FX Ethernet for up to 2 km</v>
      </c>
      <c r="D60" s="180" t="s">
        <v>43</v>
      </c>
      <c r="E60" s="180"/>
      <c r="F60" s="180" t="s">
        <v>40</v>
      </c>
      <c r="G60" s="180" t="str">
        <f>HLOOKUP(Language!$C$3,Language!$E$1:$Z517,20,FALSE)</f>
        <v>Four 100 Mbps LC-type connector multi mode fiber 100BASE-FX Ethernet for up to 2 km</v>
      </c>
      <c r="H60" s="180" t="s">
        <v>43</v>
      </c>
      <c r="I60" s="180"/>
      <c r="J60" s="180" t="s">
        <v>40</v>
      </c>
      <c r="K60" s="180" t="str">
        <f>HLOOKUP(Language!$C$3,Language!$E$1:$Z517,20,FALSE)</f>
        <v>Four 100 Mbps LC-type connector multi mode fiber 100BASE-FX Ethernet for up to 2 km</v>
      </c>
      <c r="L60" s="180" t="s">
        <v>43</v>
      </c>
      <c r="M60" s="180"/>
      <c r="N60" s="180" t="s">
        <v>40</v>
      </c>
      <c r="O60" s="180" t="str">
        <f>HLOOKUP(Language!$C$3,Language!$E$1:$Z517,20,FALSE)</f>
        <v>Four 100 Mbps LC-type connector multi mode fiber 100BASE-FX Ethernet for up to 2 km</v>
      </c>
      <c r="P60" s="180" t="s">
        <v>43</v>
      </c>
      <c r="Q60" s="180"/>
      <c r="R60" s="180" t="s">
        <v>40</v>
      </c>
      <c r="S60" s="180" t="str">
        <f>HLOOKUP(Language!$C$3,Language!$E$1:$Z517,20,FALSE)</f>
        <v>Four 100 Mbps LC-type connector multi mode fiber 100BASE-FX Ethernet for up to 2 km</v>
      </c>
      <c r="T60" s="180" t="s">
        <v>43</v>
      </c>
      <c r="U60" s="180"/>
      <c r="V60" s="180" t="s">
        <v>40</v>
      </c>
      <c r="W60" s="262" t="str">
        <f>HLOOKUP(Language!$C$3,Language!$E$1:$Z517,20,FALSE)</f>
        <v>Four 100 Mbps LC-type connector multi mode fiber 100BASE-FX Ethernet for up to 2 km</v>
      </c>
      <c r="X60" s="262" t="s">
        <v>43</v>
      </c>
      <c r="Y60" s="262"/>
      <c r="Z60" s="262" t="s">
        <v>40</v>
      </c>
      <c r="AA60" s="262" t="str">
        <f>HLOOKUP(Language!$C$3,Language!$E$1:$Z517,20,FALSE)</f>
        <v>Four 100 Mbps LC-type connector multi mode fiber 100BASE-FX Ethernet for up to 2 km</v>
      </c>
      <c r="AB60" s="262" t="s">
        <v>43</v>
      </c>
      <c r="AC60" s="262"/>
      <c r="AD60" s="262" t="s">
        <v>40</v>
      </c>
    </row>
    <row r="61" spans="1:30">
      <c r="A61" s="179"/>
      <c r="B61" s="17"/>
      <c r="C61" s="180" t="str">
        <f>HLOOKUP(Language!$C$3,Language!$E$1:$Z537,21,FALSE)</f>
        <v>Four RJ45 copper 10/100BASE-TX</v>
      </c>
      <c r="D61" s="180" t="s">
        <v>120</v>
      </c>
      <c r="E61" s="180"/>
      <c r="F61" s="180" t="s">
        <v>40</v>
      </c>
      <c r="G61" s="180" t="str">
        <f>HLOOKUP(Language!$C$3,Language!$E$1:$Z498,22,FALSE)</f>
        <v>Not installed</v>
      </c>
      <c r="H61" s="180" t="s">
        <v>28</v>
      </c>
      <c r="I61" s="180"/>
      <c r="J61" s="180" t="s">
        <v>40</v>
      </c>
      <c r="K61" s="180" t="str">
        <f>HLOOKUP(Language!$C$3,Language!$E$1:$Z537,21,FALSE)</f>
        <v>Four RJ45 copper 10/100BASE-TX</v>
      </c>
      <c r="L61" s="180" t="s">
        <v>120</v>
      </c>
      <c r="M61" s="180"/>
      <c r="N61" s="180" t="s">
        <v>40</v>
      </c>
      <c r="O61" s="180" t="str">
        <f>HLOOKUP(Language!$C$3,Language!$E$1:$Z537,21,FALSE)</f>
        <v>Four RJ45 copper 10/100BASE-TX</v>
      </c>
      <c r="P61" s="180" t="s">
        <v>120</v>
      </c>
      <c r="Q61" s="180"/>
      <c r="R61" s="180" t="s">
        <v>40</v>
      </c>
      <c r="S61" s="180" t="str">
        <f>HLOOKUP(Language!$C$3,Language!$E$1:$Z537,21,FALSE)</f>
        <v>Four RJ45 copper 10/100BASE-TX</v>
      </c>
      <c r="T61" s="180" t="s">
        <v>120</v>
      </c>
      <c r="U61" s="180"/>
      <c r="V61" s="180" t="s">
        <v>40</v>
      </c>
      <c r="W61" s="262" t="str">
        <f>HLOOKUP(Language!$C$3,Language!$E$1:$Z537,21,FALSE)</f>
        <v>Four RJ45 copper 10/100BASE-TX</v>
      </c>
      <c r="X61" s="262" t="s">
        <v>120</v>
      </c>
      <c r="Y61" s="262"/>
      <c r="Z61" s="262" t="s">
        <v>40</v>
      </c>
      <c r="AA61" s="262" t="str">
        <f>HLOOKUP(Language!$C$3,Language!$E$1:$Z537,21,FALSE)</f>
        <v>Four RJ45 copper 10/100BASE-TX</v>
      </c>
      <c r="AB61" s="262" t="s">
        <v>120</v>
      </c>
      <c r="AC61" s="262"/>
      <c r="AD61" s="262" t="s">
        <v>40</v>
      </c>
    </row>
    <row r="62" spans="1:30">
      <c r="A62" s="179"/>
      <c r="B62" s="17"/>
      <c r="C62" s="192" t="str">
        <f>HLOOKUP(Language!$C$3,Language!$E$1:$Z529,49,FALSE)</f>
        <v>Four 1 Gbps RJ45 SFP Transceivers 10/100BASE-TX/1000BASE-T Ethernet ports (Not CE marked)</v>
      </c>
      <c r="D62" s="180" t="s">
        <v>114</v>
      </c>
      <c r="E62" s="180"/>
      <c r="F62" s="180" t="s">
        <v>40</v>
      </c>
      <c r="G62" s="192"/>
      <c r="H62" s="180"/>
      <c r="I62" s="180"/>
      <c r="J62" s="180"/>
      <c r="K62" s="192" t="str">
        <f>HLOOKUP(Language!$C$3,Language!$E$1:$Z529,49,FALSE)</f>
        <v>Four 1 Gbps RJ45 SFP Transceivers 10/100BASE-TX/1000BASE-T Ethernet ports (Not CE marked)</v>
      </c>
      <c r="L62" s="180" t="s">
        <v>114</v>
      </c>
      <c r="M62" s="180"/>
      <c r="N62" s="180" t="s">
        <v>40</v>
      </c>
      <c r="O62" s="192" t="str">
        <f>HLOOKUP(Language!$C$3,Language!$E$1:$Z529,49,FALSE)</f>
        <v>Four 1 Gbps RJ45 SFP Transceivers 10/100BASE-TX/1000BASE-T Ethernet ports (Not CE marked)</v>
      </c>
      <c r="P62" s="180" t="s">
        <v>114</v>
      </c>
      <c r="Q62" s="180"/>
      <c r="R62" s="180" t="s">
        <v>40</v>
      </c>
      <c r="S62" s="192" t="str">
        <f>HLOOKUP(Language!$C$3,Language!$E$1:$Z529,49,FALSE)</f>
        <v>Four 1 Gbps RJ45 SFP Transceivers 10/100BASE-TX/1000BASE-T Ethernet ports (Not CE marked)</v>
      </c>
      <c r="T62" s="180" t="s">
        <v>114</v>
      </c>
      <c r="U62" s="180"/>
      <c r="V62" s="180" t="s">
        <v>40</v>
      </c>
      <c r="W62" s="192" t="str">
        <f>HLOOKUP(Language!$C$3,Language!$E$1:$Z529,49,FALSE)</f>
        <v>Four 1 Gbps RJ45 SFP Transceivers 10/100BASE-TX/1000BASE-T Ethernet ports (Not CE marked)</v>
      </c>
      <c r="X62" s="262" t="s">
        <v>114</v>
      </c>
      <c r="Y62" s="262"/>
      <c r="Z62" s="262" t="s">
        <v>40</v>
      </c>
      <c r="AA62" s="262" t="str">
        <f>HLOOKUP(Language!$C$3,Language!$E$1:$Z499,22,FALSE)</f>
        <v>Not installed</v>
      </c>
      <c r="AB62" s="262" t="s">
        <v>28</v>
      </c>
      <c r="AC62" s="262"/>
      <c r="AD62" s="262" t="s">
        <v>40</v>
      </c>
    </row>
    <row r="63" spans="1:30" ht="24">
      <c r="A63" s="179"/>
      <c r="B63" s="17"/>
      <c r="C63" s="180" t="str">
        <f>HLOOKUP(Language!$C$3,Language!$E$1:$Z498,22,FALSE)</f>
        <v>Not installed</v>
      </c>
      <c r="D63" s="180" t="s">
        <v>28</v>
      </c>
      <c r="E63" s="180"/>
      <c r="F63" s="180" t="s">
        <v>40</v>
      </c>
      <c r="G63" s="15"/>
      <c r="H63" s="15"/>
      <c r="I63" s="180"/>
      <c r="J63" s="180"/>
      <c r="K63" s="180" t="str">
        <f>HLOOKUP(Language!$C$3,Language!$E$1:$Z498,22,FALSE)</f>
        <v>Not installed</v>
      </c>
      <c r="L63" s="180" t="s">
        <v>28</v>
      </c>
      <c r="M63" s="180"/>
      <c r="N63" s="180" t="s">
        <v>40</v>
      </c>
      <c r="O63" s="180" t="str">
        <f>HLOOKUP(Language!$C$3,Language!$E$1:$Z498,22,FALSE)</f>
        <v>Not installed</v>
      </c>
      <c r="P63" s="180" t="s">
        <v>28</v>
      </c>
      <c r="Q63" s="180"/>
      <c r="R63" s="180" t="s">
        <v>40</v>
      </c>
      <c r="S63" s="180" t="str">
        <f>HLOOKUP(Language!$C$3,Language!$E$1:$Z498,22,FALSE)</f>
        <v>Not installed</v>
      </c>
      <c r="T63" s="180" t="s">
        <v>28</v>
      </c>
      <c r="U63" s="180"/>
      <c r="V63" s="180" t="s">
        <v>40</v>
      </c>
      <c r="W63" s="262" t="str">
        <f>HLOOKUP(Language!$C$3,Language!$E$1:$Z498,22,FALSE)</f>
        <v>Not installed</v>
      </c>
      <c r="X63" s="262" t="s">
        <v>28</v>
      </c>
      <c r="Y63" s="262"/>
      <c r="Z63" s="262" t="s">
        <v>40</v>
      </c>
      <c r="AA63" s="192" t="str">
        <f>HLOOKUP(Language!$C$3,Language!$E$1:$Z538,70,FALSE)</f>
        <v>Four 1 Gbps RJ45 SFP Transceivers 10/100BASE-TX/1000BASE-T Ethernet ports (Not CE marked) (Withdraw)</v>
      </c>
      <c r="AB63" s="262" t="s">
        <v>114</v>
      </c>
      <c r="AC63" s="262"/>
      <c r="AD63" s="262" t="s">
        <v>40</v>
      </c>
    </row>
    <row r="64" spans="1:30">
      <c r="A64" s="181"/>
      <c r="B64" s="23"/>
      <c r="C64" s="182"/>
      <c r="D64" s="182"/>
      <c r="E64" s="182"/>
      <c r="F64" s="182"/>
      <c r="G64" s="182"/>
      <c r="H64" s="182"/>
      <c r="I64" s="182"/>
      <c r="J64" s="182"/>
      <c r="K64" s="182"/>
      <c r="L64" s="182"/>
      <c r="M64" s="182"/>
      <c r="N64" s="182"/>
      <c r="O64" s="182"/>
      <c r="P64" s="182"/>
      <c r="Q64" s="182"/>
      <c r="R64" s="182"/>
      <c r="S64" s="182"/>
      <c r="T64" s="182"/>
      <c r="U64" s="182"/>
      <c r="V64" s="182"/>
      <c r="W64" s="263"/>
      <c r="X64" s="263"/>
      <c r="Y64" s="263"/>
      <c r="Z64" s="263"/>
      <c r="AA64" s="263"/>
      <c r="AB64" s="263"/>
      <c r="AC64" s="263"/>
      <c r="AD64" s="263"/>
    </row>
    <row r="65" spans="1:30">
      <c r="A65" s="177">
        <v>8</v>
      </c>
      <c r="B65" s="16" t="str">
        <f>HLOOKUP(Language!$C$3,Language!$E$1:$Z510,13,FALSE)</f>
        <v>Interface Module 5</v>
      </c>
      <c r="C65" s="178" t="str">
        <f>HLOOKUP(Language!$C$3,Language!$E$1:$Z512,14,FALSE)</f>
        <v>Four 1 Gbps RJ45 copper 10/100BASE-TX/1000BASE-T Ethernet ports</v>
      </c>
      <c r="D65" s="178" t="s">
        <v>26</v>
      </c>
      <c r="E65" s="178"/>
      <c r="F65" s="178" t="s">
        <v>40</v>
      </c>
      <c r="G65" s="178" t="str">
        <f>HLOOKUP(Language!$C$3,Language!$E$1:$Z512,14,FALSE)</f>
        <v>Four 1 Gbps RJ45 copper 10/100BASE-TX/1000BASE-T Ethernet ports</v>
      </c>
      <c r="H65" s="178" t="s">
        <v>26</v>
      </c>
      <c r="I65" s="178"/>
      <c r="J65" s="178" t="s">
        <v>40</v>
      </c>
      <c r="K65" s="178" t="str">
        <f>HLOOKUP(Language!$C$3,Language!$E$1:$Z512,14,FALSE)</f>
        <v>Four 1 Gbps RJ45 copper 10/100BASE-TX/1000BASE-T Ethernet ports</v>
      </c>
      <c r="L65" s="178" t="s">
        <v>26</v>
      </c>
      <c r="M65" s="178"/>
      <c r="N65" s="178" t="s">
        <v>40</v>
      </c>
      <c r="O65" s="178" t="str">
        <f>HLOOKUP(Language!$C$3,Language!$E$1:$Z512,14,FALSE)</f>
        <v>Four 1 Gbps RJ45 copper 10/100BASE-TX/1000BASE-T Ethernet ports</v>
      </c>
      <c r="P65" s="178" t="s">
        <v>26</v>
      </c>
      <c r="Q65" s="178"/>
      <c r="R65" s="178" t="s">
        <v>40</v>
      </c>
      <c r="S65" s="178" t="str">
        <f>HLOOKUP(Language!$C$3,Language!$E$1:$Z512,14,FALSE)</f>
        <v>Four 1 Gbps RJ45 copper 10/100BASE-TX/1000BASE-T Ethernet ports</v>
      </c>
      <c r="T65" s="178" t="s">
        <v>26</v>
      </c>
      <c r="U65" s="178"/>
      <c r="V65" s="178" t="s">
        <v>40</v>
      </c>
      <c r="W65" s="261" t="str">
        <f>HLOOKUP(Language!$C$3,Language!$E$1:$Z512,14,FALSE)</f>
        <v>Four 1 Gbps RJ45 copper 10/100BASE-TX/1000BASE-T Ethernet ports</v>
      </c>
      <c r="X65" s="261" t="s">
        <v>26</v>
      </c>
      <c r="Y65" s="261"/>
      <c r="Z65" s="261" t="s">
        <v>40</v>
      </c>
      <c r="AA65" s="261" t="str">
        <f>HLOOKUP(Language!$C$3,Language!$E$1:$Z512,14,FALSE)</f>
        <v>Four 1 Gbps RJ45 copper 10/100BASE-TX/1000BASE-T Ethernet ports</v>
      </c>
      <c r="AB65" s="261" t="s">
        <v>26</v>
      </c>
      <c r="AC65" s="261"/>
      <c r="AD65" s="261" t="s">
        <v>40</v>
      </c>
    </row>
    <row r="66" spans="1:30">
      <c r="A66" s="179"/>
      <c r="B66" s="17"/>
      <c r="C66" s="122" t="str">
        <f>HLOOKUP(Language!$C$3,Language!$E$1:$Z512,15,FALSE)</f>
        <v>Four slots for SFP transceivers</v>
      </c>
      <c r="D66" s="180" t="s">
        <v>27</v>
      </c>
      <c r="E66" s="122"/>
      <c r="F66" s="180" t="s">
        <v>40</v>
      </c>
      <c r="G66" s="122" t="str">
        <f>HLOOKUP(Language!$C$3,Language!$E$1:$Z512,15,FALSE)</f>
        <v>Four slots for SFP transceivers</v>
      </c>
      <c r="H66" s="180" t="s">
        <v>27</v>
      </c>
      <c r="I66" s="122"/>
      <c r="J66" s="180" t="s">
        <v>40</v>
      </c>
      <c r="K66" s="122" t="str">
        <f>HLOOKUP(Language!$C$3,Language!$E$1:$Z512,15,FALSE)</f>
        <v>Four slots for SFP transceivers</v>
      </c>
      <c r="L66" s="180" t="s">
        <v>27</v>
      </c>
      <c r="M66" s="122"/>
      <c r="N66" s="180" t="s">
        <v>40</v>
      </c>
      <c r="O66" s="122" t="str">
        <f>HLOOKUP(Language!$C$3,Language!$E$1:$Z512,15,FALSE)</f>
        <v>Four slots for SFP transceivers</v>
      </c>
      <c r="P66" s="180" t="s">
        <v>27</v>
      </c>
      <c r="Q66" s="122"/>
      <c r="R66" s="180" t="s">
        <v>40</v>
      </c>
      <c r="S66" s="122" t="str">
        <f>HLOOKUP(Language!$C$3,Language!$E$1:$Z512,15,FALSE)</f>
        <v>Four slots for SFP transceivers</v>
      </c>
      <c r="T66" s="180" t="s">
        <v>27</v>
      </c>
      <c r="U66" s="122"/>
      <c r="V66" s="180" t="s">
        <v>40</v>
      </c>
      <c r="W66" s="122" t="str">
        <f>HLOOKUP(Language!$C$3,Language!$E$1:$Z512,15,FALSE)</f>
        <v>Four slots for SFP transceivers</v>
      </c>
      <c r="X66" s="262" t="s">
        <v>27</v>
      </c>
      <c r="Y66" s="122"/>
      <c r="Z66" s="262" t="s">
        <v>40</v>
      </c>
      <c r="AA66" s="122" t="str">
        <f>HLOOKUP(Language!$C$3,Language!$E$1:$Z512,15,FALSE)</f>
        <v>Four slots for SFP transceivers</v>
      </c>
      <c r="AB66" s="262" t="s">
        <v>27</v>
      </c>
      <c r="AC66" s="122"/>
      <c r="AD66" s="262" t="s">
        <v>40</v>
      </c>
    </row>
    <row r="67" spans="1:30">
      <c r="A67" s="179"/>
      <c r="B67" s="17"/>
      <c r="C67" s="180" t="str">
        <f>HLOOKUP(Language!$C$3,Language!$E$1:$Z513,16,FALSE)</f>
        <v>Four 1 Gbps LC-type connector multi mode fiber 1000BASE-SX Ethernet for up to 0.5 km</v>
      </c>
      <c r="D67" s="180" t="s">
        <v>29</v>
      </c>
      <c r="E67" s="180"/>
      <c r="F67" s="180" t="s">
        <v>40</v>
      </c>
      <c r="G67" s="180" t="str">
        <f>HLOOKUP(Language!$C$3,Language!$E$1:$Z513,16,FALSE)</f>
        <v>Four 1 Gbps LC-type connector multi mode fiber 1000BASE-SX Ethernet for up to 0.5 km</v>
      </c>
      <c r="H67" s="180" t="s">
        <v>29</v>
      </c>
      <c r="I67" s="180"/>
      <c r="J67" s="180" t="s">
        <v>40</v>
      </c>
      <c r="K67" s="180" t="str">
        <f>HLOOKUP(Language!$C$3,Language!$E$1:$Z513,16,FALSE)</f>
        <v>Four 1 Gbps LC-type connector multi mode fiber 1000BASE-SX Ethernet for up to 0.5 km</v>
      </c>
      <c r="L67" s="180" t="s">
        <v>29</v>
      </c>
      <c r="M67" s="180"/>
      <c r="N67" s="180" t="s">
        <v>40</v>
      </c>
      <c r="O67" s="180" t="str">
        <f>HLOOKUP(Language!$C$3,Language!$E$1:$Z513,16,FALSE)</f>
        <v>Four 1 Gbps LC-type connector multi mode fiber 1000BASE-SX Ethernet for up to 0.5 km</v>
      </c>
      <c r="P67" s="180" t="s">
        <v>29</v>
      </c>
      <c r="Q67" s="180"/>
      <c r="R67" s="180" t="s">
        <v>40</v>
      </c>
      <c r="S67" s="180" t="str">
        <f>HLOOKUP(Language!$C$3,Language!$E$1:$Z513,16,FALSE)</f>
        <v>Four 1 Gbps LC-type connector multi mode fiber 1000BASE-SX Ethernet for up to 0.5 km</v>
      </c>
      <c r="T67" s="180" t="s">
        <v>29</v>
      </c>
      <c r="U67" s="180"/>
      <c r="V67" s="180" t="s">
        <v>40</v>
      </c>
      <c r="W67" s="262" t="str">
        <f>HLOOKUP(Language!$C$3,Language!$E$1:$Z513,16,FALSE)</f>
        <v>Four 1 Gbps LC-type connector multi mode fiber 1000BASE-SX Ethernet for up to 0.5 km</v>
      </c>
      <c r="X67" s="262" t="s">
        <v>29</v>
      </c>
      <c r="Y67" s="262"/>
      <c r="Z67" s="262" t="s">
        <v>40</v>
      </c>
      <c r="AA67" s="262" t="str">
        <f>HLOOKUP(Language!$C$3,Language!$E$1:$Z513,16,FALSE)</f>
        <v>Four 1 Gbps LC-type connector multi mode fiber 1000BASE-SX Ethernet for up to 0.5 km</v>
      </c>
      <c r="AB67" s="262" t="s">
        <v>29</v>
      </c>
      <c r="AC67" s="262"/>
      <c r="AD67" s="262" t="s">
        <v>40</v>
      </c>
    </row>
    <row r="68" spans="1:30">
      <c r="A68" s="179"/>
      <c r="B68" s="17"/>
      <c r="C68" s="180" t="str">
        <f>HLOOKUP(Language!$C$3,Language!$E$1:$Z514,17,FALSE)</f>
        <v>Four 1 Gbps LC-type connector single mode fiber 1000BASE-LX Ethernet for up to 10 km</v>
      </c>
      <c r="D68" s="180" t="s">
        <v>30</v>
      </c>
      <c r="E68" s="180"/>
      <c r="F68" s="180" t="s">
        <v>40</v>
      </c>
      <c r="G68" s="180" t="str">
        <f>HLOOKUP(Language!$C$3,Language!$E$1:$Z514,17,FALSE)</f>
        <v>Four 1 Gbps LC-type connector single mode fiber 1000BASE-LX Ethernet for up to 10 km</v>
      </c>
      <c r="H68" s="180" t="s">
        <v>30</v>
      </c>
      <c r="I68" s="180"/>
      <c r="J68" s="180" t="s">
        <v>40</v>
      </c>
      <c r="K68" s="180" t="str">
        <f>HLOOKUP(Language!$C$3,Language!$E$1:$Z514,17,FALSE)</f>
        <v>Four 1 Gbps LC-type connector single mode fiber 1000BASE-LX Ethernet for up to 10 km</v>
      </c>
      <c r="L68" s="180" t="s">
        <v>30</v>
      </c>
      <c r="M68" s="180"/>
      <c r="N68" s="180" t="s">
        <v>40</v>
      </c>
      <c r="O68" s="180" t="str">
        <f>HLOOKUP(Language!$C$3,Language!$E$1:$Z514,17,FALSE)</f>
        <v>Four 1 Gbps LC-type connector single mode fiber 1000BASE-LX Ethernet for up to 10 km</v>
      </c>
      <c r="P68" s="180" t="s">
        <v>30</v>
      </c>
      <c r="Q68" s="180"/>
      <c r="R68" s="180" t="s">
        <v>40</v>
      </c>
      <c r="S68" s="180" t="str">
        <f>HLOOKUP(Language!$C$3,Language!$E$1:$Z514,17,FALSE)</f>
        <v>Four 1 Gbps LC-type connector single mode fiber 1000BASE-LX Ethernet for up to 10 km</v>
      </c>
      <c r="T68" s="180" t="s">
        <v>30</v>
      </c>
      <c r="U68" s="180"/>
      <c r="V68" s="180" t="s">
        <v>40</v>
      </c>
      <c r="W68" s="262" t="str">
        <f>HLOOKUP(Language!$C$3,Language!$E$1:$Z514,17,FALSE)</f>
        <v>Four 1 Gbps LC-type connector single mode fiber 1000BASE-LX Ethernet for up to 10 km</v>
      </c>
      <c r="X68" s="262" t="s">
        <v>30</v>
      </c>
      <c r="Y68" s="262"/>
      <c r="Z68" s="262" t="s">
        <v>40</v>
      </c>
      <c r="AA68" s="262" t="str">
        <f>HLOOKUP(Language!$C$3,Language!$E$1:$Z514,17,FALSE)</f>
        <v>Four 1 Gbps LC-type connector single mode fiber 1000BASE-LX Ethernet for up to 10 km</v>
      </c>
      <c r="AB68" s="262" t="s">
        <v>30</v>
      </c>
      <c r="AC68" s="262"/>
      <c r="AD68" s="262" t="s">
        <v>40</v>
      </c>
    </row>
    <row r="69" spans="1:30">
      <c r="A69" s="179"/>
      <c r="B69" s="17"/>
      <c r="C69" s="180" t="str">
        <f>HLOOKUP(Language!$C$3,Language!$E$1:$Z515,18,FALSE)</f>
        <v>Four 1 Gbps LC-type connector single mode fiber 1000BASE-ZX Ethernet for up to 40 km</v>
      </c>
      <c r="D69" s="180" t="s">
        <v>41</v>
      </c>
      <c r="E69" s="180"/>
      <c r="F69" s="180" t="s">
        <v>40</v>
      </c>
      <c r="G69" s="180" t="str">
        <f>HLOOKUP(Language!$C$3,Language!$E$1:$Z515,18,FALSE)</f>
        <v>Four 1 Gbps LC-type connector single mode fiber 1000BASE-ZX Ethernet for up to 40 km</v>
      </c>
      <c r="H69" s="180" t="s">
        <v>41</v>
      </c>
      <c r="I69" s="180"/>
      <c r="J69" s="180" t="s">
        <v>40</v>
      </c>
      <c r="K69" s="180" t="str">
        <f>HLOOKUP(Language!$C$3,Language!$E$1:$Z515,18,FALSE)</f>
        <v>Four 1 Gbps LC-type connector single mode fiber 1000BASE-ZX Ethernet for up to 40 km</v>
      </c>
      <c r="L69" s="180" t="s">
        <v>41</v>
      </c>
      <c r="M69" s="180"/>
      <c r="N69" s="180" t="s">
        <v>40</v>
      </c>
      <c r="O69" s="180" t="str">
        <f>HLOOKUP(Language!$C$3,Language!$E$1:$Z515,18,FALSE)</f>
        <v>Four 1 Gbps LC-type connector single mode fiber 1000BASE-ZX Ethernet for up to 40 km</v>
      </c>
      <c r="P69" s="180" t="s">
        <v>41</v>
      </c>
      <c r="Q69" s="180"/>
      <c r="R69" s="180" t="s">
        <v>40</v>
      </c>
      <c r="S69" s="180" t="str">
        <f>HLOOKUP(Language!$C$3,Language!$E$1:$Z515,18,FALSE)</f>
        <v>Four 1 Gbps LC-type connector single mode fiber 1000BASE-ZX Ethernet for up to 40 km</v>
      </c>
      <c r="T69" s="180" t="s">
        <v>41</v>
      </c>
      <c r="U69" s="180"/>
      <c r="V69" s="180" t="s">
        <v>40</v>
      </c>
      <c r="W69" s="262" t="str">
        <f>HLOOKUP(Language!$C$3,Language!$E$1:$Z515,18,FALSE)</f>
        <v>Four 1 Gbps LC-type connector single mode fiber 1000BASE-ZX Ethernet for up to 40 km</v>
      </c>
      <c r="X69" s="262" t="s">
        <v>41</v>
      </c>
      <c r="Y69" s="262"/>
      <c r="Z69" s="262" t="s">
        <v>40</v>
      </c>
      <c r="AA69" s="262" t="str">
        <f>HLOOKUP(Language!$C$3,Language!$E$1:$Z515,18,FALSE)</f>
        <v>Four 1 Gbps LC-type connector single mode fiber 1000BASE-ZX Ethernet for up to 40 km</v>
      </c>
      <c r="AB69" s="262" t="s">
        <v>41</v>
      </c>
      <c r="AC69" s="262"/>
      <c r="AD69" s="262" t="s">
        <v>40</v>
      </c>
    </row>
    <row r="70" spans="1:30">
      <c r="A70" s="179"/>
      <c r="B70" s="17"/>
      <c r="C70" s="180" t="str">
        <f>HLOOKUP(Language!$C$3,Language!$E$1:$Z516,19,FALSE)</f>
        <v>Four 1 Gbps LC-type connector single mode fiber 1000BASE-ZX Ethernet for up to 80 km</v>
      </c>
      <c r="D70" s="180" t="s">
        <v>42</v>
      </c>
      <c r="E70" s="180"/>
      <c r="F70" s="180" t="s">
        <v>40</v>
      </c>
      <c r="G70" s="180" t="str">
        <f>HLOOKUP(Language!$C$3,Language!$E$1:$Z516,19,FALSE)</f>
        <v>Four 1 Gbps LC-type connector single mode fiber 1000BASE-ZX Ethernet for up to 80 km</v>
      </c>
      <c r="H70" s="180" t="s">
        <v>42</v>
      </c>
      <c r="I70" s="180"/>
      <c r="J70" s="180" t="s">
        <v>40</v>
      </c>
      <c r="K70" s="180" t="str">
        <f>HLOOKUP(Language!$C$3,Language!$E$1:$Z516,19,FALSE)</f>
        <v>Four 1 Gbps LC-type connector single mode fiber 1000BASE-ZX Ethernet for up to 80 km</v>
      </c>
      <c r="L70" s="180" t="s">
        <v>42</v>
      </c>
      <c r="M70" s="180"/>
      <c r="N70" s="180" t="s">
        <v>40</v>
      </c>
      <c r="O70" s="180" t="str">
        <f>HLOOKUP(Language!$C$3,Language!$E$1:$Z516,19,FALSE)</f>
        <v>Four 1 Gbps LC-type connector single mode fiber 1000BASE-ZX Ethernet for up to 80 km</v>
      </c>
      <c r="P70" s="180" t="s">
        <v>42</v>
      </c>
      <c r="Q70" s="180"/>
      <c r="R70" s="180" t="s">
        <v>40</v>
      </c>
      <c r="S70" s="180" t="str">
        <f>HLOOKUP(Language!$C$3,Language!$E$1:$Z516,19,FALSE)</f>
        <v>Four 1 Gbps LC-type connector single mode fiber 1000BASE-ZX Ethernet for up to 80 km</v>
      </c>
      <c r="T70" s="180" t="s">
        <v>42</v>
      </c>
      <c r="U70" s="180"/>
      <c r="V70" s="180" t="s">
        <v>40</v>
      </c>
      <c r="W70" s="262" t="str">
        <f>HLOOKUP(Language!$C$3,Language!$E$1:$Z516,19,FALSE)</f>
        <v>Four 1 Gbps LC-type connector single mode fiber 1000BASE-ZX Ethernet for up to 80 km</v>
      </c>
      <c r="X70" s="262" t="s">
        <v>42</v>
      </c>
      <c r="Y70" s="262"/>
      <c r="Z70" s="262" t="s">
        <v>40</v>
      </c>
      <c r="AA70" s="262" t="str">
        <f>HLOOKUP(Language!$C$3,Language!$E$1:$Z516,19,FALSE)</f>
        <v>Four 1 Gbps LC-type connector single mode fiber 1000BASE-ZX Ethernet for up to 80 km</v>
      </c>
      <c r="AB70" s="262" t="s">
        <v>42</v>
      </c>
      <c r="AC70" s="262"/>
      <c r="AD70" s="262" t="s">
        <v>40</v>
      </c>
    </row>
    <row r="71" spans="1:30">
      <c r="A71" s="179"/>
      <c r="B71" s="17"/>
      <c r="C71" s="180" t="str">
        <f>HLOOKUP(Language!$C$3,Language!$E$1:$Z517,20,FALSE)</f>
        <v>Four 100 Mbps LC-type connector multi mode fiber 100BASE-FX Ethernet for up to 2 km</v>
      </c>
      <c r="D71" s="180" t="s">
        <v>43</v>
      </c>
      <c r="E71" s="180"/>
      <c r="F71" s="180" t="s">
        <v>40</v>
      </c>
      <c r="G71" s="180" t="str">
        <f>HLOOKUP(Language!$C$3,Language!$E$1:$Z517,20,FALSE)</f>
        <v>Four 100 Mbps LC-type connector multi mode fiber 100BASE-FX Ethernet for up to 2 km</v>
      </c>
      <c r="H71" s="180" t="s">
        <v>43</v>
      </c>
      <c r="I71" s="180"/>
      <c r="J71" s="180" t="s">
        <v>40</v>
      </c>
      <c r="K71" s="180" t="str">
        <f>HLOOKUP(Language!$C$3,Language!$E$1:$Z517,20,FALSE)</f>
        <v>Four 100 Mbps LC-type connector multi mode fiber 100BASE-FX Ethernet for up to 2 km</v>
      </c>
      <c r="L71" s="180" t="s">
        <v>43</v>
      </c>
      <c r="M71" s="180"/>
      <c r="N71" s="180" t="s">
        <v>40</v>
      </c>
      <c r="O71" s="180" t="str">
        <f>HLOOKUP(Language!$C$3,Language!$E$1:$Z517,20,FALSE)</f>
        <v>Four 100 Mbps LC-type connector multi mode fiber 100BASE-FX Ethernet for up to 2 km</v>
      </c>
      <c r="P71" s="180" t="s">
        <v>43</v>
      </c>
      <c r="Q71" s="180"/>
      <c r="R71" s="180" t="s">
        <v>40</v>
      </c>
      <c r="S71" s="180" t="str">
        <f>HLOOKUP(Language!$C$3,Language!$E$1:$Z517,20,FALSE)</f>
        <v>Four 100 Mbps LC-type connector multi mode fiber 100BASE-FX Ethernet for up to 2 km</v>
      </c>
      <c r="T71" s="180" t="s">
        <v>43</v>
      </c>
      <c r="U71" s="180"/>
      <c r="V71" s="180" t="s">
        <v>40</v>
      </c>
      <c r="W71" s="262" t="str">
        <f>HLOOKUP(Language!$C$3,Language!$E$1:$Z517,20,FALSE)</f>
        <v>Four 100 Mbps LC-type connector multi mode fiber 100BASE-FX Ethernet for up to 2 km</v>
      </c>
      <c r="X71" s="262" t="s">
        <v>43</v>
      </c>
      <c r="Y71" s="262"/>
      <c r="Z71" s="262" t="s">
        <v>40</v>
      </c>
      <c r="AA71" s="262" t="str">
        <f>HLOOKUP(Language!$C$3,Language!$E$1:$Z517,20,FALSE)</f>
        <v>Four 100 Mbps LC-type connector multi mode fiber 100BASE-FX Ethernet for up to 2 km</v>
      </c>
      <c r="AB71" s="262" t="s">
        <v>43</v>
      </c>
      <c r="AC71" s="262"/>
      <c r="AD71" s="262" t="s">
        <v>40</v>
      </c>
    </row>
    <row r="72" spans="1:30">
      <c r="A72" s="179"/>
      <c r="B72" s="17"/>
      <c r="C72" s="180" t="str">
        <f>HLOOKUP(Language!$C$3,Language!$E$1:$Z548,21,FALSE)</f>
        <v>Four RJ45 copper 10/100BASE-TX</v>
      </c>
      <c r="D72" s="180" t="s">
        <v>120</v>
      </c>
      <c r="E72" s="180"/>
      <c r="F72" s="180" t="s">
        <v>40</v>
      </c>
      <c r="G72" s="180" t="str">
        <f>HLOOKUP(Language!$C$3,Language!$E$1:$Z498,22,FALSE)</f>
        <v>Not installed</v>
      </c>
      <c r="H72" s="180" t="s">
        <v>28</v>
      </c>
      <c r="I72" s="180"/>
      <c r="J72" s="180" t="s">
        <v>40</v>
      </c>
      <c r="K72" s="180" t="str">
        <f>HLOOKUP(Language!$C$3,Language!$E$1:$Z548,21,FALSE)</f>
        <v>Four RJ45 copper 10/100BASE-TX</v>
      </c>
      <c r="L72" s="180" t="s">
        <v>120</v>
      </c>
      <c r="M72" s="180"/>
      <c r="N72" s="180" t="s">
        <v>40</v>
      </c>
      <c r="O72" s="180" t="str">
        <f>HLOOKUP(Language!$C$3,Language!$E$1:$Z548,21,FALSE)</f>
        <v>Four RJ45 copper 10/100BASE-TX</v>
      </c>
      <c r="P72" s="180" t="s">
        <v>120</v>
      </c>
      <c r="Q72" s="180"/>
      <c r="R72" s="180" t="s">
        <v>40</v>
      </c>
      <c r="S72" s="180" t="str">
        <f>HLOOKUP(Language!$C$3,Language!$E$1:$Z548,21,FALSE)</f>
        <v>Four RJ45 copper 10/100BASE-TX</v>
      </c>
      <c r="T72" s="180" t="s">
        <v>120</v>
      </c>
      <c r="U72" s="180"/>
      <c r="V72" s="180" t="s">
        <v>40</v>
      </c>
      <c r="W72" s="262" t="str">
        <f>HLOOKUP(Language!$C$3,Language!$E$1:$Z548,21,FALSE)</f>
        <v>Four RJ45 copper 10/100BASE-TX</v>
      </c>
      <c r="X72" s="262" t="s">
        <v>120</v>
      </c>
      <c r="Y72" s="262"/>
      <c r="Z72" s="262" t="s">
        <v>40</v>
      </c>
      <c r="AA72" s="262" t="str">
        <f>HLOOKUP(Language!$C$3,Language!$E$1:$Z548,21,FALSE)</f>
        <v>Four RJ45 copper 10/100BASE-TX</v>
      </c>
      <c r="AB72" s="262" t="s">
        <v>120</v>
      </c>
      <c r="AC72" s="262"/>
      <c r="AD72" s="262" t="s">
        <v>40</v>
      </c>
    </row>
    <row r="73" spans="1:30">
      <c r="A73" s="179"/>
      <c r="B73" s="17"/>
      <c r="C73" s="192" t="str">
        <f>HLOOKUP(Language!$C$3,Language!$E$1:$Z539,49,FALSE)</f>
        <v>Four 1 Gbps RJ45 SFP Transceivers 10/100BASE-TX/1000BASE-T Ethernet ports (Not CE marked)</v>
      </c>
      <c r="D73" s="180" t="s">
        <v>114</v>
      </c>
      <c r="E73" s="180"/>
      <c r="F73" s="180" t="s">
        <v>40</v>
      </c>
      <c r="G73" s="192"/>
      <c r="H73" s="180"/>
      <c r="I73" s="180"/>
      <c r="J73" s="180"/>
      <c r="K73" s="192" t="str">
        <f>HLOOKUP(Language!$C$3,Language!$E$1:$Z539,49,FALSE)</f>
        <v>Four 1 Gbps RJ45 SFP Transceivers 10/100BASE-TX/1000BASE-T Ethernet ports (Not CE marked)</v>
      </c>
      <c r="L73" s="180" t="s">
        <v>114</v>
      </c>
      <c r="M73" s="180"/>
      <c r="N73" s="180" t="s">
        <v>40</v>
      </c>
      <c r="O73" s="192" t="str">
        <f>HLOOKUP(Language!$C$3,Language!$E$1:$Z539,49,FALSE)</f>
        <v>Four 1 Gbps RJ45 SFP Transceivers 10/100BASE-TX/1000BASE-T Ethernet ports (Not CE marked)</v>
      </c>
      <c r="P73" s="180" t="s">
        <v>114</v>
      </c>
      <c r="Q73" s="180"/>
      <c r="R73" s="180" t="s">
        <v>40</v>
      </c>
      <c r="S73" s="192" t="str">
        <f>HLOOKUP(Language!$C$3,Language!$E$1:$Z539,49,FALSE)</f>
        <v>Four 1 Gbps RJ45 SFP Transceivers 10/100BASE-TX/1000BASE-T Ethernet ports (Not CE marked)</v>
      </c>
      <c r="T73" s="180" t="s">
        <v>114</v>
      </c>
      <c r="U73" s="180"/>
      <c r="V73" s="180" t="s">
        <v>40</v>
      </c>
      <c r="W73" s="192" t="str">
        <f>HLOOKUP(Language!$C$3,Language!$E$1:$Z539,49,FALSE)</f>
        <v>Four 1 Gbps RJ45 SFP Transceivers 10/100BASE-TX/1000BASE-T Ethernet ports (Not CE marked)</v>
      </c>
      <c r="X73" s="262" t="s">
        <v>114</v>
      </c>
      <c r="Y73" s="262"/>
      <c r="Z73" s="262" t="s">
        <v>40</v>
      </c>
      <c r="AA73" s="262" t="str">
        <f>HLOOKUP(Language!$C$3,Language!$E$1:$Z510,22,FALSE)</f>
        <v>Not installed</v>
      </c>
      <c r="AB73" s="262" t="s">
        <v>28</v>
      </c>
      <c r="AC73" s="262"/>
      <c r="AD73" s="262" t="s">
        <v>40</v>
      </c>
    </row>
    <row r="74" spans="1:30" ht="24">
      <c r="A74" s="179"/>
      <c r="B74" s="17"/>
      <c r="C74" s="180" t="str">
        <f>HLOOKUP(Language!$C$3,Language!$E$1:$Z498,22,FALSE)</f>
        <v>Not installed</v>
      </c>
      <c r="D74" s="180" t="s">
        <v>28</v>
      </c>
      <c r="E74" s="180"/>
      <c r="F74" s="180" t="s">
        <v>40</v>
      </c>
      <c r="G74" s="15"/>
      <c r="H74" s="15"/>
      <c r="I74" s="180"/>
      <c r="J74" s="180"/>
      <c r="K74" s="180" t="str">
        <f>HLOOKUP(Language!$C$3,Language!$E$1:$Z498,22,FALSE)</f>
        <v>Not installed</v>
      </c>
      <c r="L74" s="180" t="s">
        <v>28</v>
      </c>
      <c r="M74" s="180"/>
      <c r="N74" s="180" t="s">
        <v>40</v>
      </c>
      <c r="O74" s="180" t="str">
        <f>HLOOKUP(Language!$C$3,Language!$E$1:$Z498,22,FALSE)</f>
        <v>Not installed</v>
      </c>
      <c r="P74" s="180" t="s">
        <v>28</v>
      </c>
      <c r="Q74" s="180"/>
      <c r="R74" s="180" t="s">
        <v>40</v>
      </c>
      <c r="S74" s="180" t="str">
        <f>HLOOKUP(Language!$C$3,Language!$E$1:$Z498,22,FALSE)</f>
        <v>Not installed</v>
      </c>
      <c r="T74" s="180" t="s">
        <v>28</v>
      </c>
      <c r="U74" s="180"/>
      <c r="V74" s="180" t="s">
        <v>40</v>
      </c>
      <c r="W74" s="262" t="str">
        <f>HLOOKUP(Language!$C$3,Language!$E$1:$Z498,22,FALSE)</f>
        <v>Not installed</v>
      </c>
      <c r="X74" s="262" t="s">
        <v>28</v>
      </c>
      <c r="Y74" s="262"/>
      <c r="Z74" s="262" t="s">
        <v>40</v>
      </c>
      <c r="AA74" s="192" t="str">
        <f>HLOOKUP(Language!$C$3,Language!$E$1:$Z549,70,FALSE)</f>
        <v>Four 1 Gbps RJ45 SFP Transceivers 10/100BASE-TX/1000BASE-T Ethernet ports (Not CE marked) (Withdraw)</v>
      </c>
      <c r="AB74" s="262" t="s">
        <v>114</v>
      </c>
      <c r="AC74" s="262"/>
      <c r="AD74" s="262" t="s">
        <v>40</v>
      </c>
    </row>
    <row r="75" spans="1:30">
      <c r="A75" s="181"/>
      <c r="B75" s="23"/>
      <c r="C75" s="182"/>
      <c r="D75" s="182"/>
      <c r="E75" s="182"/>
      <c r="F75" s="182"/>
      <c r="G75" s="182"/>
      <c r="H75" s="182"/>
      <c r="I75" s="182"/>
      <c r="J75" s="182"/>
      <c r="K75" s="182"/>
      <c r="L75" s="182"/>
      <c r="M75" s="182"/>
      <c r="N75" s="182"/>
      <c r="O75" s="182"/>
      <c r="P75" s="182"/>
      <c r="Q75" s="182"/>
      <c r="R75" s="182"/>
      <c r="S75" s="182"/>
      <c r="T75" s="182"/>
      <c r="U75" s="182"/>
      <c r="V75" s="182"/>
      <c r="W75" s="263"/>
      <c r="X75" s="263"/>
      <c r="Y75" s="263"/>
      <c r="Z75" s="263"/>
      <c r="AA75" s="263"/>
      <c r="AB75" s="263"/>
      <c r="AC75" s="263"/>
      <c r="AD75" s="263"/>
    </row>
    <row r="76" spans="1:30">
      <c r="A76" s="177">
        <v>9</v>
      </c>
      <c r="B76" s="16" t="str">
        <f>HLOOKUP(Language!$C$3,Language!$E$1:$Z520,48,FALSE)</f>
        <v>Interface Module 6</v>
      </c>
      <c r="C76" s="178" t="str">
        <f>HLOOKUP(Language!$C$3,Language!$E$1:$Z522,14,FALSE)</f>
        <v>Four 1 Gbps RJ45 copper 10/100BASE-TX/1000BASE-T Ethernet ports</v>
      </c>
      <c r="D76" s="178" t="s">
        <v>26</v>
      </c>
      <c r="E76" s="178"/>
      <c r="F76" s="178" t="s">
        <v>40</v>
      </c>
      <c r="G76" s="178" t="str">
        <f>HLOOKUP(Language!$C$3,Language!$E$1:$Z522,14,FALSE)</f>
        <v>Four 1 Gbps RJ45 copper 10/100BASE-TX/1000BASE-T Ethernet ports</v>
      </c>
      <c r="H76" s="178" t="s">
        <v>26</v>
      </c>
      <c r="I76" s="178"/>
      <c r="J76" s="178" t="s">
        <v>40</v>
      </c>
      <c r="K76" s="178" t="str">
        <f>HLOOKUP(Language!$C$3,Language!$E$1:$Z522,14,FALSE)</f>
        <v>Four 1 Gbps RJ45 copper 10/100BASE-TX/1000BASE-T Ethernet ports</v>
      </c>
      <c r="L76" s="178" t="s">
        <v>26</v>
      </c>
      <c r="M76" s="178"/>
      <c r="N76" s="178" t="s">
        <v>40</v>
      </c>
      <c r="O76" s="178" t="str">
        <f>HLOOKUP(Language!$C$3,Language!$E$1:$Z522,14,FALSE)</f>
        <v>Four 1 Gbps RJ45 copper 10/100BASE-TX/1000BASE-T Ethernet ports</v>
      </c>
      <c r="P76" s="178" t="s">
        <v>26</v>
      </c>
      <c r="Q76" s="178"/>
      <c r="R76" s="178" t="s">
        <v>40</v>
      </c>
      <c r="S76" s="178" t="str">
        <f>HLOOKUP(Language!$C$3,Language!$E$1:$Z522,14,FALSE)</f>
        <v>Four 1 Gbps RJ45 copper 10/100BASE-TX/1000BASE-T Ethernet ports</v>
      </c>
      <c r="T76" s="178" t="s">
        <v>26</v>
      </c>
      <c r="U76" s="178"/>
      <c r="V76" s="178" t="s">
        <v>40</v>
      </c>
      <c r="W76" s="261" t="str">
        <f>HLOOKUP(Language!$C$3,Language!$E$1:$Z522,14,FALSE)</f>
        <v>Four 1 Gbps RJ45 copper 10/100BASE-TX/1000BASE-T Ethernet ports</v>
      </c>
      <c r="X76" s="261" t="s">
        <v>26</v>
      </c>
      <c r="Y76" s="261"/>
      <c r="Z76" s="261" t="s">
        <v>40</v>
      </c>
      <c r="AA76" s="261" t="str">
        <f>HLOOKUP(Language!$C$3,Language!$E$1:$Z522,14,FALSE)</f>
        <v>Four 1 Gbps RJ45 copper 10/100BASE-TX/1000BASE-T Ethernet ports</v>
      </c>
      <c r="AB76" s="261" t="s">
        <v>26</v>
      </c>
      <c r="AC76" s="261"/>
      <c r="AD76" s="261" t="s">
        <v>40</v>
      </c>
    </row>
    <row r="77" spans="1:30">
      <c r="A77" s="179"/>
      <c r="B77" s="17"/>
      <c r="C77" s="122" t="str">
        <f>HLOOKUP(Language!$C$3,Language!$E$1:$Z522,15,FALSE)</f>
        <v>Four slots for SFP transceivers</v>
      </c>
      <c r="D77" s="180" t="s">
        <v>27</v>
      </c>
      <c r="E77" s="122"/>
      <c r="F77" s="180" t="s">
        <v>40</v>
      </c>
      <c r="G77" s="122" t="str">
        <f>HLOOKUP(Language!$C$3,Language!$E$1:$Z522,15,FALSE)</f>
        <v>Four slots for SFP transceivers</v>
      </c>
      <c r="H77" s="180" t="s">
        <v>27</v>
      </c>
      <c r="I77" s="122"/>
      <c r="J77" s="180" t="s">
        <v>40</v>
      </c>
      <c r="K77" s="122" t="str">
        <f>HLOOKUP(Language!$C$3,Language!$E$1:$Z522,15,FALSE)</f>
        <v>Four slots for SFP transceivers</v>
      </c>
      <c r="L77" s="180" t="s">
        <v>27</v>
      </c>
      <c r="M77" s="122"/>
      <c r="N77" s="180" t="s">
        <v>40</v>
      </c>
      <c r="O77" s="122" t="str">
        <f>HLOOKUP(Language!$C$3,Language!$E$1:$Z522,15,FALSE)</f>
        <v>Four slots for SFP transceivers</v>
      </c>
      <c r="P77" s="180" t="s">
        <v>27</v>
      </c>
      <c r="Q77" s="122"/>
      <c r="R77" s="180" t="s">
        <v>40</v>
      </c>
      <c r="S77" s="122" t="str">
        <f>HLOOKUP(Language!$C$3,Language!$E$1:$Z522,15,FALSE)</f>
        <v>Four slots for SFP transceivers</v>
      </c>
      <c r="T77" s="180" t="s">
        <v>27</v>
      </c>
      <c r="U77" s="122"/>
      <c r="V77" s="180" t="s">
        <v>40</v>
      </c>
      <c r="W77" s="122" t="str">
        <f>HLOOKUP(Language!$C$3,Language!$E$1:$Z522,15,FALSE)</f>
        <v>Four slots for SFP transceivers</v>
      </c>
      <c r="X77" s="262" t="s">
        <v>27</v>
      </c>
      <c r="Y77" s="122"/>
      <c r="Z77" s="262" t="s">
        <v>40</v>
      </c>
      <c r="AA77" s="122" t="str">
        <f>HLOOKUP(Language!$C$3,Language!$E$1:$Z522,15,FALSE)</f>
        <v>Four slots for SFP transceivers</v>
      </c>
      <c r="AB77" s="262" t="s">
        <v>27</v>
      </c>
      <c r="AC77" s="122"/>
      <c r="AD77" s="262" t="s">
        <v>40</v>
      </c>
    </row>
    <row r="78" spans="1:30">
      <c r="A78" s="179"/>
      <c r="B78" s="17"/>
      <c r="C78" s="180" t="str">
        <f>HLOOKUP(Language!$C$3,Language!$E$1:$Z523,16,FALSE)</f>
        <v>Four 1 Gbps LC-type connector multi mode fiber 1000BASE-SX Ethernet for up to 0.5 km</v>
      </c>
      <c r="D78" s="180" t="s">
        <v>29</v>
      </c>
      <c r="E78" s="180"/>
      <c r="F78" s="180" t="s">
        <v>40</v>
      </c>
      <c r="G78" s="180" t="str">
        <f>HLOOKUP(Language!$C$3,Language!$E$1:$Z523,16,FALSE)</f>
        <v>Four 1 Gbps LC-type connector multi mode fiber 1000BASE-SX Ethernet for up to 0.5 km</v>
      </c>
      <c r="H78" s="180" t="s">
        <v>29</v>
      </c>
      <c r="I78" s="180"/>
      <c r="J78" s="180" t="s">
        <v>40</v>
      </c>
      <c r="K78" s="180" t="str">
        <f>HLOOKUP(Language!$C$3,Language!$E$1:$Z523,16,FALSE)</f>
        <v>Four 1 Gbps LC-type connector multi mode fiber 1000BASE-SX Ethernet for up to 0.5 km</v>
      </c>
      <c r="L78" s="180" t="s">
        <v>29</v>
      </c>
      <c r="M78" s="180"/>
      <c r="N78" s="180" t="s">
        <v>40</v>
      </c>
      <c r="O78" s="180" t="str">
        <f>HLOOKUP(Language!$C$3,Language!$E$1:$Z523,16,FALSE)</f>
        <v>Four 1 Gbps LC-type connector multi mode fiber 1000BASE-SX Ethernet for up to 0.5 km</v>
      </c>
      <c r="P78" s="180" t="s">
        <v>29</v>
      </c>
      <c r="Q78" s="180"/>
      <c r="R78" s="180" t="s">
        <v>40</v>
      </c>
      <c r="S78" s="180" t="str">
        <f>HLOOKUP(Language!$C$3,Language!$E$1:$Z523,16,FALSE)</f>
        <v>Four 1 Gbps LC-type connector multi mode fiber 1000BASE-SX Ethernet for up to 0.5 km</v>
      </c>
      <c r="T78" s="180" t="s">
        <v>29</v>
      </c>
      <c r="U78" s="180"/>
      <c r="V78" s="180" t="s">
        <v>40</v>
      </c>
      <c r="W78" s="262" t="str">
        <f>HLOOKUP(Language!$C$3,Language!$E$1:$Z523,16,FALSE)</f>
        <v>Four 1 Gbps LC-type connector multi mode fiber 1000BASE-SX Ethernet for up to 0.5 km</v>
      </c>
      <c r="X78" s="262" t="s">
        <v>29</v>
      </c>
      <c r="Y78" s="262"/>
      <c r="Z78" s="262" t="s">
        <v>40</v>
      </c>
      <c r="AA78" s="262" t="str">
        <f>HLOOKUP(Language!$C$3,Language!$E$1:$Z523,16,FALSE)</f>
        <v>Four 1 Gbps LC-type connector multi mode fiber 1000BASE-SX Ethernet for up to 0.5 km</v>
      </c>
      <c r="AB78" s="262" t="s">
        <v>29</v>
      </c>
      <c r="AC78" s="262"/>
      <c r="AD78" s="262" t="s">
        <v>40</v>
      </c>
    </row>
    <row r="79" spans="1:30">
      <c r="A79" s="179"/>
      <c r="B79" s="17"/>
      <c r="C79" s="180" t="str">
        <f>HLOOKUP(Language!$C$3,Language!$E$1:$Z524,17,FALSE)</f>
        <v>Four 1 Gbps LC-type connector single mode fiber 1000BASE-LX Ethernet for up to 10 km</v>
      </c>
      <c r="D79" s="180" t="s">
        <v>30</v>
      </c>
      <c r="E79" s="180"/>
      <c r="F79" s="180" t="s">
        <v>40</v>
      </c>
      <c r="G79" s="180" t="str">
        <f>HLOOKUP(Language!$C$3,Language!$E$1:$Z524,17,FALSE)</f>
        <v>Four 1 Gbps LC-type connector single mode fiber 1000BASE-LX Ethernet for up to 10 km</v>
      </c>
      <c r="H79" s="180" t="s">
        <v>30</v>
      </c>
      <c r="I79" s="180"/>
      <c r="J79" s="180" t="s">
        <v>40</v>
      </c>
      <c r="K79" s="180" t="str">
        <f>HLOOKUP(Language!$C$3,Language!$E$1:$Z524,17,FALSE)</f>
        <v>Four 1 Gbps LC-type connector single mode fiber 1000BASE-LX Ethernet for up to 10 km</v>
      </c>
      <c r="L79" s="180" t="s">
        <v>30</v>
      </c>
      <c r="M79" s="180"/>
      <c r="N79" s="180" t="s">
        <v>40</v>
      </c>
      <c r="O79" s="180" t="str">
        <f>HLOOKUP(Language!$C$3,Language!$E$1:$Z524,17,FALSE)</f>
        <v>Four 1 Gbps LC-type connector single mode fiber 1000BASE-LX Ethernet for up to 10 km</v>
      </c>
      <c r="P79" s="180" t="s">
        <v>30</v>
      </c>
      <c r="Q79" s="180"/>
      <c r="R79" s="180" t="s">
        <v>40</v>
      </c>
      <c r="S79" s="180" t="str">
        <f>HLOOKUP(Language!$C$3,Language!$E$1:$Z524,17,FALSE)</f>
        <v>Four 1 Gbps LC-type connector single mode fiber 1000BASE-LX Ethernet for up to 10 km</v>
      </c>
      <c r="T79" s="180" t="s">
        <v>30</v>
      </c>
      <c r="U79" s="180"/>
      <c r="V79" s="180" t="s">
        <v>40</v>
      </c>
      <c r="W79" s="262" t="str">
        <f>HLOOKUP(Language!$C$3,Language!$E$1:$Z524,17,FALSE)</f>
        <v>Four 1 Gbps LC-type connector single mode fiber 1000BASE-LX Ethernet for up to 10 km</v>
      </c>
      <c r="X79" s="262" t="s">
        <v>30</v>
      </c>
      <c r="Y79" s="262"/>
      <c r="Z79" s="262" t="s">
        <v>40</v>
      </c>
      <c r="AA79" s="262" t="str">
        <f>HLOOKUP(Language!$C$3,Language!$E$1:$Z524,17,FALSE)</f>
        <v>Four 1 Gbps LC-type connector single mode fiber 1000BASE-LX Ethernet for up to 10 km</v>
      </c>
      <c r="AB79" s="262" t="s">
        <v>30</v>
      </c>
      <c r="AC79" s="262"/>
      <c r="AD79" s="262" t="s">
        <v>40</v>
      </c>
    </row>
    <row r="80" spans="1:30">
      <c r="A80" s="179"/>
      <c r="B80" s="17"/>
      <c r="C80" s="180" t="str">
        <f>HLOOKUP(Language!$C$3,Language!$E$1:$Z525,18,FALSE)</f>
        <v>Four 1 Gbps LC-type connector single mode fiber 1000BASE-ZX Ethernet for up to 40 km</v>
      </c>
      <c r="D80" s="180" t="s">
        <v>41</v>
      </c>
      <c r="E80" s="180"/>
      <c r="F80" s="180" t="s">
        <v>40</v>
      </c>
      <c r="G80" s="180" t="str">
        <f>HLOOKUP(Language!$C$3,Language!$E$1:$Z525,18,FALSE)</f>
        <v>Four 1 Gbps LC-type connector single mode fiber 1000BASE-ZX Ethernet for up to 40 km</v>
      </c>
      <c r="H80" s="180" t="s">
        <v>41</v>
      </c>
      <c r="I80" s="180"/>
      <c r="J80" s="180" t="s">
        <v>40</v>
      </c>
      <c r="K80" s="180" t="str">
        <f>HLOOKUP(Language!$C$3,Language!$E$1:$Z525,18,FALSE)</f>
        <v>Four 1 Gbps LC-type connector single mode fiber 1000BASE-ZX Ethernet for up to 40 km</v>
      </c>
      <c r="L80" s="180" t="s">
        <v>41</v>
      </c>
      <c r="M80" s="180"/>
      <c r="N80" s="180" t="s">
        <v>40</v>
      </c>
      <c r="O80" s="180" t="str">
        <f>HLOOKUP(Language!$C$3,Language!$E$1:$Z525,18,FALSE)</f>
        <v>Four 1 Gbps LC-type connector single mode fiber 1000BASE-ZX Ethernet for up to 40 km</v>
      </c>
      <c r="P80" s="180" t="s">
        <v>41</v>
      </c>
      <c r="Q80" s="180"/>
      <c r="R80" s="180" t="s">
        <v>40</v>
      </c>
      <c r="S80" s="180" t="str">
        <f>HLOOKUP(Language!$C$3,Language!$E$1:$Z525,18,FALSE)</f>
        <v>Four 1 Gbps LC-type connector single mode fiber 1000BASE-ZX Ethernet for up to 40 km</v>
      </c>
      <c r="T80" s="180" t="s">
        <v>41</v>
      </c>
      <c r="U80" s="180"/>
      <c r="V80" s="180" t="s">
        <v>40</v>
      </c>
      <c r="W80" s="262" t="str">
        <f>HLOOKUP(Language!$C$3,Language!$E$1:$Z525,18,FALSE)</f>
        <v>Four 1 Gbps LC-type connector single mode fiber 1000BASE-ZX Ethernet for up to 40 km</v>
      </c>
      <c r="X80" s="262" t="s">
        <v>41</v>
      </c>
      <c r="Y80" s="262"/>
      <c r="Z80" s="262" t="s">
        <v>40</v>
      </c>
      <c r="AA80" s="262" t="str">
        <f>HLOOKUP(Language!$C$3,Language!$E$1:$Z525,18,FALSE)</f>
        <v>Four 1 Gbps LC-type connector single mode fiber 1000BASE-ZX Ethernet for up to 40 km</v>
      </c>
      <c r="AB80" s="262" t="s">
        <v>41</v>
      </c>
      <c r="AC80" s="262"/>
      <c r="AD80" s="262" t="s">
        <v>40</v>
      </c>
    </row>
    <row r="81" spans="1:30">
      <c r="A81" s="179"/>
      <c r="B81" s="17"/>
      <c r="C81" s="180" t="str">
        <f>HLOOKUP(Language!$C$3,Language!$E$1:$Z526,19,FALSE)</f>
        <v>Four 1 Gbps LC-type connector single mode fiber 1000BASE-ZX Ethernet for up to 80 km</v>
      </c>
      <c r="D81" s="180" t="s">
        <v>42</v>
      </c>
      <c r="E81" s="180"/>
      <c r="F81" s="180" t="s">
        <v>40</v>
      </c>
      <c r="G81" s="180" t="str">
        <f>HLOOKUP(Language!$C$3,Language!$E$1:$Z526,19,FALSE)</f>
        <v>Four 1 Gbps LC-type connector single mode fiber 1000BASE-ZX Ethernet for up to 80 km</v>
      </c>
      <c r="H81" s="180" t="s">
        <v>42</v>
      </c>
      <c r="I81" s="180"/>
      <c r="J81" s="180" t="s">
        <v>40</v>
      </c>
      <c r="K81" s="180" t="str">
        <f>HLOOKUP(Language!$C$3,Language!$E$1:$Z526,19,FALSE)</f>
        <v>Four 1 Gbps LC-type connector single mode fiber 1000BASE-ZX Ethernet for up to 80 km</v>
      </c>
      <c r="L81" s="180" t="s">
        <v>42</v>
      </c>
      <c r="M81" s="180"/>
      <c r="N81" s="180" t="s">
        <v>40</v>
      </c>
      <c r="O81" s="180" t="str">
        <f>HLOOKUP(Language!$C$3,Language!$E$1:$Z526,19,FALSE)</f>
        <v>Four 1 Gbps LC-type connector single mode fiber 1000BASE-ZX Ethernet for up to 80 km</v>
      </c>
      <c r="P81" s="180" t="s">
        <v>42</v>
      </c>
      <c r="Q81" s="180"/>
      <c r="R81" s="180" t="s">
        <v>40</v>
      </c>
      <c r="S81" s="180" t="str">
        <f>HLOOKUP(Language!$C$3,Language!$E$1:$Z526,19,FALSE)</f>
        <v>Four 1 Gbps LC-type connector single mode fiber 1000BASE-ZX Ethernet for up to 80 km</v>
      </c>
      <c r="T81" s="180" t="s">
        <v>42</v>
      </c>
      <c r="U81" s="180"/>
      <c r="V81" s="180" t="s">
        <v>40</v>
      </c>
      <c r="W81" s="262" t="str">
        <f>HLOOKUP(Language!$C$3,Language!$E$1:$Z526,19,FALSE)</f>
        <v>Four 1 Gbps LC-type connector single mode fiber 1000BASE-ZX Ethernet for up to 80 km</v>
      </c>
      <c r="X81" s="262" t="s">
        <v>42</v>
      </c>
      <c r="Y81" s="262"/>
      <c r="Z81" s="262" t="s">
        <v>40</v>
      </c>
      <c r="AA81" s="262" t="str">
        <f>HLOOKUP(Language!$C$3,Language!$E$1:$Z526,19,FALSE)</f>
        <v>Four 1 Gbps LC-type connector single mode fiber 1000BASE-ZX Ethernet for up to 80 km</v>
      </c>
      <c r="AB81" s="262" t="s">
        <v>42</v>
      </c>
      <c r="AC81" s="262"/>
      <c r="AD81" s="262" t="s">
        <v>40</v>
      </c>
    </row>
    <row r="82" spans="1:30">
      <c r="A82" s="179"/>
      <c r="B82" s="17"/>
      <c r="C82" s="180" t="str">
        <f>HLOOKUP(Language!$C$3,Language!$E$1:$Z527,20,FALSE)</f>
        <v>Four 100 Mbps LC-type connector multi mode fiber 100BASE-FX Ethernet for up to 2 km</v>
      </c>
      <c r="D82" s="180" t="s">
        <v>43</v>
      </c>
      <c r="E82" s="180"/>
      <c r="F82" s="180" t="s">
        <v>40</v>
      </c>
      <c r="G82" s="180" t="str">
        <f>HLOOKUP(Language!$C$3,Language!$E$1:$Z527,20,FALSE)</f>
        <v>Four 100 Mbps LC-type connector multi mode fiber 100BASE-FX Ethernet for up to 2 km</v>
      </c>
      <c r="H82" s="180" t="s">
        <v>43</v>
      </c>
      <c r="I82" s="180"/>
      <c r="J82" s="180" t="s">
        <v>40</v>
      </c>
      <c r="K82" s="180" t="str">
        <f>HLOOKUP(Language!$C$3,Language!$E$1:$Z527,20,FALSE)</f>
        <v>Four 100 Mbps LC-type connector multi mode fiber 100BASE-FX Ethernet for up to 2 km</v>
      </c>
      <c r="L82" s="180" t="s">
        <v>43</v>
      </c>
      <c r="M82" s="180"/>
      <c r="N82" s="180" t="s">
        <v>40</v>
      </c>
      <c r="O82" s="180" t="str">
        <f>HLOOKUP(Language!$C$3,Language!$E$1:$Z527,20,FALSE)</f>
        <v>Four 100 Mbps LC-type connector multi mode fiber 100BASE-FX Ethernet for up to 2 km</v>
      </c>
      <c r="P82" s="180" t="s">
        <v>43</v>
      </c>
      <c r="Q82" s="180"/>
      <c r="R82" s="180" t="s">
        <v>40</v>
      </c>
      <c r="S82" s="180" t="str">
        <f>HLOOKUP(Language!$C$3,Language!$E$1:$Z527,20,FALSE)</f>
        <v>Four 100 Mbps LC-type connector multi mode fiber 100BASE-FX Ethernet for up to 2 km</v>
      </c>
      <c r="T82" s="180" t="s">
        <v>43</v>
      </c>
      <c r="U82" s="180"/>
      <c r="V82" s="180" t="s">
        <v>40</v>
      </c>
      <c r="W82" s="262" t="str">
        <f>HLOOKUP(Language!$C$3,Language!$E$1:$Z527,20,FALSE)</f>
        <v>Four 100 Mbps LC-type connector multi mode fiber 100BASE-FX Ethernet for up to 2 km</v>
      </c>
      <c r="X82" s="262" t="s">
        <v>43</v>
      </c>
      <c r="Y82" s="262"/>
      <c r="Z82" s="262" t="s">
        <v>40</v>
      </c>
      <c r="AA82" s="262" t="str">
        <f>HLOOKUP(Language!$C$3,Language!$E$1:$Z527,20,FALSE)</f>
        <v>Four 100 Mbps LC-type connector multi mode fiber 100BASE-FX Ethernet for up to 2 km</v>
      </c>
      <c r="AB82" s="262" t="s">
        <v>43</v>
      </c>
      <c r="AC82" s="262"/>
      <c r="AD82" s="262" t="s">
        <v>40</v>
      </c>
    </row>
    <row r="83" spans="1:30">
      <c r="A83" s="179"/>
      <c r="B83" s="17"/>
      <c r="C83" s="180" t="str">
        <f>HLOOKUP(Language!$C$3,Language!$E$1:$Z559,21,FALSE)</f>
        <v>Four RJ45 copper 10/100BASE-TX</v>
      </c>
      <c r="D83" s="180" t="s">
        <v>120</v>
      </c>
      <c r="E83" s="180"/>
      <c r="F83" s="180" t="s">
        <v>40</v>
      </c>
      <c r="G83" s="180" t="str">
        <f>HLOOKUP(Language!$C$3,Language!$E$1:$Z508,22,FALSE)</f>
        <v>Not installed</v>
      </c>
      <c r="H83" s="180" t="s">
        <v>28</v>
      </c>
      <c r="I83" s="180"/>
      <c r="J83" s="180" t="s">
        <v>40</v>
      </c>
      <c r="K83" s="180" t="str">
        <f>HLOOKUP(Language!$C$3,Language!$E$1:$Z559,21,FALSE)</f>
        <v>Four RJ45 copper 10/100BASE-TX</v>
      </c>
      <c r="L83" s="180" t="s">
        <v>120</v>
      </c>
      <c r="M83" s="180"/>
      <c r="N83" s="180" t="s">
        <v>40</v>
      </c>
      <c r="O83" s="180" t="str">
        <f>HLOOKUP(Language!$C$3,Language!$E$1:$Z559,21,FALSE)</f>
        <v>Four RJ45 copper 10/100BASE-TX</v>
      </c>
      <c r="P83" s="180" t="s">
        <v>120</v>
      </c>
      <c r="Q83" s="180"/>
      <c r="R83" s="180" t="s">
        <v>40</v>
      </c>
      <c r="S83" s="180" t="str">
        <f>HLOOKUP(Language!$C$3,Language!$E$1:$Z559,21,FALSE)</f>
        <v>Four RJ45 copper 10/100BASE-TX</v>
      </c>
      <c r="T83" s="180" t="s">
        <v>120</v>
      </c>
      <c r="U83" s="180"/>
      <c r="V83" s="180" t="s">
        <v>40</v>
      </c>
      <c r="W83" s="262" t="str">
        <f>HLOOKUP(Language!$C$3,Language!$E$1:$Z559,21,FALSE)</f>
        <v>Four RJ45 copper 10/100BASE-TX</v>
      </c>
      <c r="X83" s="262" t="s">
        <v>120</v>
      </c>
      <c r="Y83" s="262"/>
      <c r="Z83" s="262" t="s">
        <v>40</v>
      </c>
      <c r="AA83" s="262" t="str">
        <f>HLOOKUP(Language!$C$3,Language!$E$1:$Z559,21,FALSE)</f>
        <v>Four RJ45 copper 10/100BASE-TX</v>
      </c>
      <c r="AB83" s="262" t="s">
        <v>120</v>
      </c>
      <c r="AC83" s="262"/>
      <c r="AD83" s="262" t="s">
        <v>40</v>
      </c>
    </row>
    <row r="84" spans="1:30">
      <c r="A84" s="179"/>
      <c r="B84" s="17"/>
      <c r="C84" s="192" t="str">
        <f>HLOOKUP(Language!$C$3,Language!$E$1:$Z549,49,FALSE)</f>
        <v>Four 1 Gbps RJ45 SFP Transceivers 10/100BASE-TX/1000BASE-T Ethernet ports (Not CE marked)</v>
      </c>
      <c r="D84" s="180" t="s">
        <v>114</v>
      </c>
      <c r="E84" s="180"/>
      <c r="F84" s="180" t="s">
        <v>40</v>
      </c>
      <c r="G84" s="192"/>
      <c r="H84" s="180"/>
      <c r="I84" s="180"/>
      <c r="J84" s="180"/>
      <c r="K84" s="192" t="str">
        <f>HLOOKUP(Language!$C$3,Language!$E$1:$Z549,49,FALSE)</f>
        <v>Four 1 Gbps RJ45 SFP Transceivers 10/100BASE-TX/1000BASE-T Ethernet ports (Not CE marked)</v>
      </c>
      <c r="L84" s="180" t="s">
        <v>114</v>
      </c>
      <c r="M84" s="180"/>
      <c r="N84" s="180" t="s">
        <v>40</v>
      </c>
      <c r="O84" s="192" t="str">
        <f>HLOOKUP(Language!$C$3,Language!$E$1:$Z549,49,FALSE)</f>
        <v>Four 1 Gbps RJ45 SFP Transceivers 10/100BASE-TX/1000BASE-T Ethernet ports (Not CE marked)</v>
      </c>
      <c r="P84" s="180" t="s">
        <v>114</v>
      </c>
      <c r="Q84" s="180"/>
      <c r="R84" s="180" t="s">
        <v>40</v>
      </c>
      <c r="S84" s="192" t="str">
        <f>HLOOKUP(Language!$C$3,Language!$E$1:$Z549,49,FALSE)</f>
        <v>Four 1 Gbps RJ45 SFP Transceivers 10/100BASE-TX/1000BASE-T Ethernet ports (Not CE marked)</v>
      </c>
      <c r="T84" s="180" t="s">
        <v>114</v>
      </c>
      <c r="U84" s="180"/>
      <c r="V84" s="180" t="s">
        <v>40</v>
      </c>
      <c r="W84" s="192" t="str">
        <f>HLOOKUP(Language!$C$3,Language!$E$1:$Z549,49,FALSE)</f>
        <v>Four 1 Gbps RJ45 SFP Transceivers 10/100BASE-TX/1000BASE-T Ethernet ports (Not CE marked)</v>
      </c>
      <c r="X84" s="262" t="s">
        <v>114</v>
      </c>
      <c r="Y84" s="262"/>
      <c r="Z84" s="262" t="s">
        <v>40</v>
      </c>
      <c r="AA84" s="262" t="str">
        <f>HLOOKUP(Language!$C$3,Language!$E$1:$Z521,22,FALSE)</f>
        <v>Not installed</v>
      </c>
      <c r="AB84" s="262" t="s">
        <v>28</v>
      </c>
      <c r="AC84" s="262"/>
      <c r="AD84" s="262" t="s">
        <v>40</v>
      </c>
    </row>
    <row r="85" spans="1:30" ht="24">
      <c r="A85" s="179"/>
      <c r="B85" s="17"/>
      <c r="C85" s="180" t="str">
        <f>HLOOKUP(Language!$C$3,Language!$E$1:$Z508,22,FALSE)</f>
        <v>Not installed</v>
      </c>
      <c r="D85" s="180" t="s">
        <v>28</v>
      </c>
      <c r="E85" s="180"/>
      <c r="F85" s="180" t="s">
        <v>40</v>
      </c>
      <c r="G85" s="15"/>
      <c r="H85" s="15"/>
      <c r="I85" s="180"/>
      <c r="J85" s="180"/>
      <c r="K85" s="180" t="str">
        <f>HLOOKUP(Language!$C$3,Language!$E$1:$Z508,22,FALSE)</f>
        <v>Not installed</v>
      </c>
      <c r="L85" s="180" t="s">
        <v>28</v>
      </c>
      <c r="M85" s="180"/>
      <c r="N85" s="180" t="s">
        <v>40</v>
      </c>
      <c r="O85" s="180" t="str">
        <f>HLOOKUP(Language!$C$3,Language!$E$1:$Z508,22,FALSE)</f>
        <v>Not installed</v>
      </c>
      <c r="P85" s="180" t="s">
        <v>28</v>
      </c>
      <c r="Q85" s="180"/>
      <c r="R85" s="180" t="s">
        <v>40</v>
      </c>
      <c r="S85" s="180" t="str">
        <f>HLOOKUP(Language!$C$3,Language!$E$1:$Z508,22,FALSE)</f>
        <v>Not installed</v>
      </c>
      <c r="T85" s="180" t="s">
        <v>28</v>
      </c>
      <c r="U85" s="180"/>
      <c r="V85" s="180" t="s">
        <v>40</v>
      </c>
      <c r="W85" s="262" t="str">
        <f>HLOOKUP(Language!$C$3,Language!$E$1:$Z508,22,FALSE)</f>
        <v>Not installed</v>
      </c>
      <c r="X85" s="262" t="s">
        <v>28</v>
      </c>
      <c r="Y85" s="262"/>
      <c r="Z85" s="262" t="s">
        <v>40</v>
      </c>
      <c r="AA85" s="192" t="str">
        <f>HLOOKUP(Language!$C$3,Language!$E$1:$Z560,70,FALSE)</f>
        <v>Four 1 Gbps RJ45 SFP Transceivers 10/100BASE-TX/1000BASE-T Ethernet ports (Not CE marked) (Withdraw)</v>
      </c>
      <c r="AB85" s="262" t="s">
        <v>114</v>
      </c>
      <c r="AC85" s="262"/>
      <c r="AD85" s="262" t="s">
        <v>40</v>
      </c>
    </row>
    <row r="86" spans="1:30">
      <c r="A86" s="181"/>
      <c r="B86" s="23"/>
      <c r="C86" s="182"/>
      <c r="D86" s="182"/>
      <c r="E86" s="182"/>
      <c r="F86" s="182"/>
      <c r="G86" s="182"/>
      <c r="H86" s="182"/>
      <c r="I86" s="182"/>
      <c r="J86" s="182"/>
      <c r="K86" s="182"/>
      <c r="L86" s="182"/>
      <c r="M86" s="182"/>
      <c r="N86" s="182"/>
      <c r="O86" s="182"/>
      <c r="P86" s="182"/>
      <c r="Q86" s="182"/>
      <c r="R86" s="182"/>
      <c r="S86" s="182"/>
      <c r="T86" s="182"/>
      <c r="U86" s="182"/>
      <c r="V86" s="182"/>
      <c r="W86" s="263"/>
      <c r="X86" s="263"/>
      <c r="Y86" s="263"/>
      <c r="Z86" s="263"/>
      <c r="AA86" s="263"/>
      <c r="AB86" s="263"/>
      <c r="AC86" s="263"/>
      <c r="AD86" s="263"/>
    </row>
    <row r="87" spans="1:30">
      <c r="A87" s="177">
        <v>10</v>
      </c>
      <c r="B87" s="16" t="str">
        <f>HLOOKUP(Language!$C$3,Language!$E$1:$Z553,26,FALSE)</f>
        <v>Firmware Version</v>
      </c>
      <c r="C87" s="178" t="str">
        <f>HLOOKUP(Language!$C$3,Language!$E$1:$Z555,27,FALSE)</f>
        <v>Latest available firmware</v>
      </c>
      <c r="D87" s="234" t="s">
        <v>121</v>
      </c>
      <c r="E87" s="178"/>
      <c r="F87" s="178" t="s">
        <v>40</v>
      </c>
      <c r="G87" s="178" t="str">
        <f>HLOOKUP(Language!$C$3,Language!$E$1:$Z555,27,FALSE)</f>
        <v>Latest available firmware</v>
      </c>
      <c r="H87" s="178" t="s">
        <v>31</v>
      </c>
      <c r="I87" s="178"/>
      <c r="J87" s="178" t="s">
        <v>40</v>
      </c>
      <c r="K87" s="178" t="str">
        <f>HLOOKUP(Language!$C$3,Language!$E$1:$Z555,27,FALSE)</f>
        <v>Latest available firmware</v>
      </c>
      <c r="L87" s="234" t="s">
        <v>121</v>
      </c>
      <c r="M87" s="178"/>
      <c r="N87" s="178" t="s">
        <v>40</v>
      </c>
      <c r="O87" s="178" t="str">
        <f>CONCATENATE(HLOOKUP(Language!$C$3,Language!$E$1:$Z555,27,FALSE)," - 05")</f>
        <v>Latest available firmware - 05</v>
      </c>
      <c r="P87" s="234" t="s">
        <v>140</v>
      </c>
      <c r="Q87" s="178"/>
      <c r="R87" s="178" t="s">
        <v>40</v>
      </c>
      <c r="S87" s="178" t="str">
        <f>CONCATENATE(HLOOKUP(Language!$C$3,Language!$E$1:$Z555,27,FALSE)," - 05")</f>
        <v>Latest available firmware - 05</v>
      </c>
      <c r="T87" s="234" t="s">
        <v>140</v>
      </c>
      <c r="U87" s="178"/>
      <c r="V87" s="178" t="s">
        <v>40</v>
      </c>
      <c r="W87" s="261" t="str">
        <f>CONCATENATE(HLOOKUP(Language!$C$3,Language!$E$1:$Z555,27,FALSE)," - 06")</f>
        <v>Latest available firmware - 06</v>
      </c>
      <c r="X87" s="264" t="s">
        <v>178</v>
      </c>
      <c r="Y87" s="261"/>
      <c r="Z87" s="261" t="s">
        <v>40</v>
      </c>
      <c r="AA87" s="261" t="str">
        <f>CONCATENATE(HLOOKUP(Language!$C$3,Language!$E$1:$Z555,27,FALSE)," - 06")</f>
        <v>Latest available firmware - 06</v>
      </c>
      <c r="AB87" s="264" t="s">
        <v>178</v>
      </c>
      <c r="AC87" s="261"/>
      <c r="AD87" s="261" t="s">
        <v>40</v>
      </c>
    </row>
    <row r="88" spans="1:30">
      <c r="A88" s="181"/>
      <c r="B88" s="23"/>
      <c r="C88" s="182"/>
      <c r="D88" s="182"/>
      <c r="E88" s="182"/>
      <c r="F88" s="182"/>
      <c r="G88" s="182"/>
      <c r="H88" s="182"/>
      <c r="I88" s="182"/>
      <c r="J88" s="182"/>
      <c r="K88" s="182"/>
      <c r="L88" s="182"/>
      <c r="M88" s="182"/>
      <c r="N88" s="182"/>
      <c r="O88" s="182" t="str">
        <f>CONCATENATE(HLOOKUP(Language!$C$3,Language!$E$1:$Z556,55,FALSE)," - 04")</f>
        <v>Firmware version number - 04</v>
      </c>
      <c r="P88" s="182" t="s">
        <v>121</v>
      </c>
      <c r="Q88" s="182"/>
      <c r="R88" s="182" t="s">
        <v>40</v>
      </c>
      <c r="S88" s="182"/>
      <c r="T88" s="182"/>
      <c r="U88" s="182"/>
      <c r="V88" s="182" t="s">
        <v>143</v>
      </c>
      <c r="W88" s="263" t="str">
        <f>CONCATENATE(HLOOKUP(Language!$C$3,Language!$E$1:$Z555,55,FALSE)," - 05")</f>
        <v>Firmware version number - 05</v>
      </c>
      <c r="X88" s="243" t="s">
        <v>140</v>
      </c>
      <c r="Y88" s="263"/>
      <c r="Z88" s="263" t="s">
        <v>40</v>
      </c>
      <c r="AA88" s="263" t="str">
        <f>CONCATENATE(HLOOKUP(Language!$C$3,Language!$E$1:$Z555,55,FALSE)," - 05")</f>
        <v>Firmware version number - 05</v>
      </c>
      <c r="AB88" s="243" t="s">
        <v>140</v>
      </c>
      <c r="AC88" s="263"/>
      <c r="AD88" s="263" t="s">
        <v>40</v>
      </c>
    </row>
    <row r="89" spans="1:30">
      <c r="A89" s="177">
        <v>11</v>
      </c>
      <c r="B89" s="16" t="str">
        <f>HLOOKUP(Language!$C$3,Language!$E$1:$Z555,28,FALSE)</f>
        <v>Hardware Design Suffix</v>
      </c>
      <c r="C89" s="178" t="str">
        <f>HLOOKUP(Language!$C$3,Language!$E$1:$Z557,29,FALSE)</f>
        <v>Standard hardware release</v>
      </c>
      <c r="D89" s="178" t="s">
        <v>26</v>
      </c>
      <c r="E89" s="178"/>
      <c r="F89" s="178" t="s">
        <v>40</v>
      </c>
      <c r="G89" s="178" t="str">
        <f>HLOOKUP(Language!$C$3,Language!$E$1:$Z557,29,FALSE)</f>
        <v>Standard hardware release</v>
      </c>
      <c r="H89" s="178" t="s">
        <v>26</v>
      </c>
      <c r="I89" s="178"/>
      <c r="J89" s="178" t="s">
        <v>40</v>
      </c>
      <c r="K89" s="178" t="str">
        <f>HLOOKUP(Language!$C$3,Language!$E$1:$Z557,29,FALSE)</f>
        <v>Standard hardware release</v>
      </c>
      <c r="L89" s="178" t="s">
        <v>27</v>
      </c>
      <c r="M89" s="178"/>
      <c r="N89" s="178" t="s">
        <v>40</v>
      </c>
      <c r="O89" s="178" t="str">
        <f>HLOOKUP(Language!$C$3,Language!$E$1:$Z557,29,FALSE)</f>
        <v>Standard hardware release</v>
      </c>
      <c r="P89" s="178" t="s">
        <v>27</v>
      </c>
      <c r="Q89" s="178"/>
      <c r="R89" s="178" t="s">
        <v>40</v>
      </c>
      <c r="S89" s="178" t="str">
        <f>HLOOKUP(Language!$C$3,Language!$E$1:$Z557,29,FALSE)</f>
        <v>Standard hardware release</v>
      </c>
      <c r="T89" s="178" t="s">
        <v>27</v>
      </c>
      <c r="U89" s="178"/>
      <c r="V89" s="178" t="s">
        <v>40</v>
      </c>
      <c r="W89" s="261" t="str">
        <f>HLOOKUP(Language!$C$3,Language!$E$1:$Z557,29,FALSE)</f>
        <v>Standard hardware release</v>
      </c>
      <c r="X89" s="261" t="s">
        <v>27</v>
      </c>
      <c r="Y89" s="261"/>
      <c r="Z89" s="261" t="s">
        <v>40</v>
      </c>
      <c r="AA89" s="261" t="str">
        <f>HLOOKUP(Language!$C$3,Language!$E$1:$Z557,29,FALSE)</f>
        <v>Standard hardware release</v>
      </c>
      <c r="AB89" s="261" t="s">
        <v>27</v>
      </c>
      <c r="AC89" s="261"/>
      <c r="AD89" s="261" t="s">
        <v>40</v>
      </c>
    </row>
    <row r="90" spans="1:30">
      <c r="A90" s="179"/>
      <c r="B90" s="22"/>
      <c r="C90" s="180" t="str">
        <f>HLOOKUP(Language!$C$3,Language!$E$1:$Z508,42,FALSE)</f>
        <v>Alternate hardware release</v>
      </c>
      <c r="D90" s="180" t="s">
        <v>83</v>
      </c>
      <c r="E90" s="180"/>
      <c r="F90" s="180" t="s">
        <v>40</v>
      </c>
      <c r="G90" s="180" t="str">
        <f>HLOOKUP(Language!$C$3,Language!$E$1:$Z508,42,FALSE)</f>
        <v>Alternate hardware release</v>
      </c>
      <c r="H90" s="180" t="s">
        <v>83</v>
      </c>
      <c r="I90" s="180"/>
      <c r="J90" s="180" t="s">
        <v>40</v>
      </c>
      <c r="K90" s="180" t="str">
        <f>HLOOKUP(Language!$C$3,Language!$E$1:$Z508,42,FALSE)</f>
        <v>Alternate hardware release</v>
      </c>
      <c r="L90" s="180" t="s">
        <v>131</v>
      </c>
      <c r="M90" s="180"/>
      <c r="N90" s="180" t="s">
        <v>40</v>
      </c>
      <c r="O90" s="180" t="str">
        <f>HLOOKUP(Language!$C$3,Language!$E$1:$Z508,42,FALSE)</f>
        <v>Alternate hardware release</v>
      </c>
      <c r="P90" s="180" t="s">
        <v>131</v>
      </c>
      <c r="Q90" s="180"/>
      <c r="R90" s="180" t="s">
        <v>40</v>
      </c>
      <c r="S90" s="180" t="str">
        <f>HLOOKUP(Language!$C$3,Language!$E$1:$Z508,42,FALSE)</f>
        <v>Alternate hardware release</v>
      </c>
      <c r="T90" s="180" t="s">
        <v>131</v>
      </c>
      <c r="U90" s="180"/>
      <c r="V90" s="180" t="s">
        <v>40</v>
      </c>
      <c r="W90" s="262" t="str">
        <f>HLOOKUP(Language!$C$3,Language!$E$1:$Z508,42,FALSE)</f>
        <v>Alternate hardware release</v>
      </c>
      <c r="X90" s="262" t="s">
        <v>131</v>
      </c>
      <c r="Y90" s="262"/>
      <c r="Z90" s="262" t="s">
        <v>40</v>
      </c>
      <c r="AA90" s="262" t="str">
        <f>HLOOKUP(Language!$C$3,Language!$E$1:$Z508,69,FALSE)</f>
        <v>Alternate hardware release (Withdraw)</v>
      </c>
      <c r="AB90" s="262" t="s">
        <v>131</v>
      </c>
      <c r="AC90" s="262"/>
      <c r="AD90" s="262" t="s">
        <v>40</v>
      </c>
    </row>
    <row r="91" spans="1:30">
      <c r="A91" s="181"/>
      <c r="B91" s="18"/>
      <c r="C91" s="182"/>
      <c r="D91" s="182"/>
      <c r="E91" s="182"/>
      <c r="F91" s="182"/>
      <c r="G91" s="182"/>
      <c r="H91" s="182"/>
      <c r="I91" s="182"/>
      <c r="J91" s="182"/>
      <c r="K91" s="182"/>
      <c r="L91" s="182"/>
      <c r="M91" s="182"/>
      <c r="N91" s="182"/>
      <c r="O91" s="182"/>
      <c r="P91" s="182"/>
      <c r="Q91" s="182"/>
      <c r="R91" s="182"/>
      <c r="S91" s="182"/>
      <c r="T91" s="182"/>
      <c r="U91" s="182"/>
      <c r="V91" s="182"/>
      <c r="W91" s="263"/>
      <c r="X91" s="263"/>
      <c r="Y91" s="263"/>
      <c r="Z91" s="263"/>
      <c r="AA91" s="263"/>
      <c r="AB91" s="263"/>
      <c r="AC91" s="263"/>
      <c r="AD91" s="263"/>
    </row>
  </sheetData>
  <pageMargins left="0.511811024" right="0.511811024" top="0.78740157499999996" bottom="0.78740157499999996" header="0.31496062000000002" footer="0.31496062000000002"/>
  <ignoredErrors>
    <ignoredError sqref="H8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7"/>
  <dimension ref="A1:G78"/>
  <sheetViews>
    <sheetView topLeftCell="C46" zoomScale="115" zoomScaleNormal="115" workbookViewId="0">
      <selection activeCell="E74" sqref="E74"/>
    </sheetView>
  </sheetViews>
  <sheetFormatPr defaultRowHeight="12"/>
  <cols>
    <col min="1" max="1" width="2.42578125" style="1" customWidth="1"/>
    <col min="2" max="2" width="28.85546875" style="2" customWidth="1"/>
    <col min="3" max="3" width="3.140625" style="3" customWidth="1"/>
    <col min="4" max="4" width="3.140625" style="2" customWidth="1"/>
    <col min="5" max="5" width="92.28515625" style="4" customWidth="1"/>
    <col min="6" max="6" width="87.7109375" style="4" customWidth="1"/>
    <col min="7" max="16384" width="9.140625" style="2"/>
  </cols>
  <sheetData>
    <row r="1" spans="1:6">
      <c r="B1" s="2" t="s">
        <v>0</v>
      </c>
      <c r="E1" s="4" t="s">
        <v>1</v>
      </c>
      <c r="F1" s="4" t="s">
        <v>2</v>
      </c>
    </row>
    <row r="2" spans="1:6">
      <c r="E2" s="4" t="s">
        <v>3</v>
      </c>
      <c r="F2" s="4" t="s">
        <v>4</v>
      </c>
    </row>
    <row r="3" spans="1:6">
      <c r="A3" s="5">
        <v>1</v>
      </c>
      <c r="B3" s="6" t="str">
        <f>VLOOKUP(A3,A4:C6,2,FALSE)</f>
        <v>English</v>
      </c>
      <c r="C3" s="7" t="str">
        <f>VLOOKUP(A3,A4:C6,3,FALSE)</f>
        <v>En</v>
      </c>
      <c r="D3" s="8"/>
      <c r="E3" s="4" t="s">
        <v>88</v>
      </c>
      <c r="F3" s="4" t="s">
        <v>89</v>
      </c>
    </row>
    <row r="4" spans="1:6">
      <c r="A4" s="9">
        <v>1</v>
      </c>
      <c r="B4" s="8" t="s">
        <v>5</v>
      </c>
      <c r="C4" s="10" t="s">
        <v>1</v>
      </c>
      <c r="D4" s="8"/>
      <c r="E4" s="4" t="s">
        <v>110</v>
      </c>
      <c r="F4" s="4" t="s">
        <v>110</v>
      </c>
    </row>
    <row r="5" spans="1:6">
      <c r="A5" s="9">
        <v>2</v>
      </c>
      <c r="B5" s="8" t="s">
        <v>6</v>
      </c>
      <c r="C5" s="10" t="s">
        <v>2</v>
      </c>
      <c r="D5" s="8"/>
      <c r="E5" s="4" t="s">
        <v>45</v>
      </c>
      <c r="F5" s="4" t="s">
        <v>46</v>
      </c>
    </row>
    <row r="6" spans="1:6">
      <c r="A6" s="11"/>
      <c r="B6" s="12"/>
      <c r="C6" s="13"/>
      <c r="D6" s="8"/>
      <c r="E6" s="4" t="s">
        <v>47</v>
      </c>
      <c r="F6" s="4" t="s">
        <v>48</v>
      </c>
    </row>
    <row r="7" spans="1:6">
      <c r="E7" s="4" t="s">
        <v>96</v>
      </c>
      <c r="F7" s="4" t="s">
        <v>96</v>
      </c>
    </row>
    <row r="8" spans="1:6">
      <c r="E8" s="4" t="s">
        <v>7</v>
      </c>
      <c r="F8" s="4" t="s">
        <v>8</v>
      </c>
    </row>
    <row r="9" spans="1:6">
      <c r="E9" s="4" t="s">
        <v>49</v>
      </c>
      <c r="F9" s="4" t="s">
        <v>50</v>
      </c>
    </row>
    <row r="10" spans="1:6">
      <c r="E10" s="4" t="s">
        <v>51</v>
      </c>
      <c r="F10" s="4" t="s">
        <v>55</v>
      </c>
    </row>
    <row r="11" spans="1:6">
      <c r="E11" s="4" t="s">
        <v>52</v>
      </c>
      <c r="F11" s="4" t="s">
        <v>56</v>
      </c>
    </row>
    <row r="12" spans="1:6">
      <c r="E12" s="4" t="s">
        <v>53</v>
      </c>
      <c r="F12" s="4" t="s">
        <v>57</v>
      </c>
    </row>
    <row r="13" spans="1:6">
      <c r="E13" s="4" t="s">
        <v>54</v>
      </c>
      <c r="F13" s="4" t="s">
        <v>58</v>
      </c>
    </row>
    <row r="14" spans="1:6">
      <c r="E14" s="4" t="s">
        <v>113</v>
      </c>
      <c r="F14" s="4" t="s">
        <v>122</v>
      </c>
    </row>
    <row r="15" spans="1:6">
      <c r="E15" s="4" t="s">
        <v>68</v>
      </c>
      <c r="F15" s="4" t="s">
        <v>123</v>
      </c>
    </row>
    <row r="16" spans="1:6">
      <c r="E16" s="4" t="s">
        <v>69</v>
      </c>
      <c r="F16" s="4" t="s">
        <v>171</v>
      </c>
    </row>
    <row r="17" spans="5:6">
      <c r="E17" s="4" t="s">
        <v>70</v>
      </c>
      <c r="F17" s="4" t="s">
        <v>74</v>
      </c>
    </row>
    <row r="18" spans="5:6">
      <c r="E18" s="4" t="s">
        <v>71</v>
      </c>
      <c r="F18" s="4" t="s">
        <v>172</v>
      </c>
    </row>
    <row r="19" spans="5:6">
      <c r="E19" s="4" t="s">
        <v>72</v>
      </c>
      <c r="F19" s="4" t="s">
        <v>173</v>
      </c>
    </row>
    <row r="20" spans="5:6">
      <c r="E20" s="4" t="s">
        <v>73</v>
      </c>
      <c r="F20" s="4" t="s">
        <v>75</v>
      </c>
    </row>
    <row r="21" spans="5:6">
      <c r="E21" s="4" t="s">
        <v>76</v>
      </c>
      <c r="F21" s="4" t="s">
        <v>77</v>
      </c>
    </row>
    <row r="22" spans="5:6">
      <c r="E22" s="4" t="s">
        <v>7</v>
      </c>
      <c r="F22" s="4" t="s">
        <v>8</v>
      </c>
    </row>
    <row r="23" spans="5:6">
      <c r="E23" s="4" t="s">
        <v>59</v>
      </c>
      <c r="F23" s="4" t="s">
        <v>60</v>
      </c>
    </row>
    <row r="24" spans="5:6">
      <c r="E24" s="4" t="s">
        <v>61</v>
      </c>
      <c r="F24" s="4" t="s">
        <v>63</v>
      </c>
    </row>
    <row r="25" spans="5:6">
      <c r="E25" s="4" t="s">
        <v>62</v>
      </c>
      <c r="F25" s="4" t="s">
        <v>64</v>
      </c>
    </row>
    <row r="26" spans="5:6">
      <c r="E26" s="4" t="s">
        <v>9</v>
      </c>
      <c r="F26" s="4" t="s">
        <v>105</v>
      </c>
    </row>
    <row r="27" spans="5:6">
      <c r="E27" s="14" t="s">
        <v>136</v>
      </c>
      <c r="F27" s="14" t="s">
        <v>137</v>
      </c>
    </row>
    <row r="28" spans="5:6">
      <c r="E28" s="4" t="s">
        <v>10</v>
      </c>
      <c r="F28" s="4" t="s">
        <v>106</v>
      </c>
    </row>
    <row r="29" spans="5:6">
      <c r="E29" s="2" t="s">
        <v>87</v>
      </c>
      <c r="F29" s="2" t="s">
        <v>107</v>
      </c>
    </row>
    <row r="30" spans="5:6">
      <c r="E30" s="4" t="s">
        <v>11</v>
      </c>
      <c r="F30" s="4" t="s">
        <v>12</v>
      </c>
    </row>
    <row r="31" spans="5:6">
      <c r="E31" s="4" t="s">
        <v>65</v>
      </c>
      <c r="F31" s="4" t="s">
        <v>108</v>
      </c>
    </row>
    <row r="32" spans="5:6">
      <c r="E32" s="4" t="s">
        <v>66</v>
      </c>
      <c r="F32" s="4" t="s">
        <v>67</v>
      </c>
    </row>
    <row r="33" spans="1:7">
      <c r="E33" s="4" t="s">
        <v>21</v>
      </c>
      <c r="F33" s="4" t="s">
        <v>22</v>
      </c>
    </row>
    <row r="34" spans="1:7">
      <c r="E34" s="4" t="s">
        <v>23</v>
      </c>
      <c r="F34" s="4" t="s">
        <v>24</v>
      </c>
    </row>
    <row r="35" spans="1:7">
      <c r="E35" s="4" t="s">
        <v>25</v>
      </c>
      <c r="F35" s="4" t="s">
        <v>109</v>
      </c>
    </row>
    <row r="36" spans="1:7" ht="24">
      <c r="E36" s="4" t="s">
        <v>15</v>
      </c>
      <c r="F36" s="4" t="s">
        <v>16</v>
      </c>
    </row>
    <row r="37" spans="1:7" ht="24">
      <c r="E37" s="4" t="s">
        <v>17</v>
      </c>
      <c r="F37" s="4" t="s">
        <v>18</v>
      </c>
    </row>
    <row r="38" spans="1:7" ht="36">
      <c r="E38" s="14" t="s">
        <v>19</v>
      </c>
      <c r="F38" s="14" t="s">
        <v>20</v>
      </c>
    </row>
    <row r="39" spans="1:7">
      <c r="E39" s="4" t="s">
        <v>13</v>
      </c>
      <c r="F39" s="4" t="s">
        <v>14</v>
      </c>
    </row>
    <row r="40" spans="1:7">
      <c r="E40" s="4" t="s">
        <v>92</v>
      </c>
      <c r="F40" s="4" t="s">
        <v>93</v>
      </c>
    </row>
    <row r="41" spans="1:7">
      <c r="E41" s="4" t="s">
        <v>95</v>
      </c>
      <c r="F41" s="4" t="s">
        <v>94</v>
      </c>
    </row>
    <row r="42" spans="1:7">
      <c r="E42" s="4" t="s">
        <v>85</v>
      </c>
      <c r="F42" s="4" t="s">
        <v>86</v>
      </c>
    </row>
    <row r="43" spans="1:7">
      <c r="E43" s="4" t="s">
        <v>78</v>
      </c>
      <c r="F43" s="4" t="s">
        <v>79</v>
      </c>
    </row>
    <row r="44" spans="1:7">
      <c r="E44" s="4" t="s">
        <v>91</v>
      </c>
      <c r="F44" s="4" t="s">
        <v>90</v>
      </c>
    </row>
    <row r="45" spans="1:7">
      <c r="E45" s="4" t="s">
        <v>80</v>
      </c>
      <c r="F45" s="4" t="s">
        <v>81</v>
      </c>
    </row>
    <row r="46" spans="1:7" customFormat="1" ht="15">
      <c r="A46" s="1"/>
      <c r="B46" s="2"/>
      <c r="C46" s="3"/>
      <c r="D46" s="2"/>
      <c r="E46" s="4" t="s">
        <v>99</v>
      </c>
      <c r="F46" s="4" t="s">
        <v>100</v>
      </c>
      <c r="G46" s="4"/>
    </row>
    <row r="47" spans="1:7" customFormat="1" ht="15">
      <c r="A47" s="1"/>
      <c r="B47" s="2"/>
      <c r="C47" s="3"/>
      <c r="D47" s="2"/>
      <c r="E47" s="4" t="s">
        <v>97</v>
      </c>
      <c r="F47" s="4" t="s">
        <v>98</v>
      </c>
      <c r="G47" s="4"/>
    </row>
    <row r="48" spans="1:7">
      <c r="E48" s="4" t="s">
        <v>111</v>
      </c>
      <c r="F48" s="4" t="s">
        <v>112</v>
      </c>
    </row>
    <row r="49" spans="1:7">
      <c r="E49" s="4" t="s">
        <v>141</v>
      </c>
      <c r="F49" s="4" t="s">
        <v>142</v>
      </c>
    </row>
    <row r="50" spans="1:7" ht="24">
      <c r="E50" s="4" t="s">
        <v>125</v>
      </c>
      <c r="F50" s="4" t="s">
        <v>170</v>
      </c>
    </row>
    <row r="51" spans="1:7" ht="24">
      <c r="E51" s="4" t="s">
        <v>126</v>
      </c>
      <c r="F51" s="4" t="s">
        <v>127</v>
      </c>
    </row>
    <row r="52" spans="1:7" ht="24">
      <c r="E52" s="4" t="s">
        <v>128</v>
      </c>
      <c r="F52" s="4" t="s">
        <v>169</v>
      </c>
    </row>
    <row r="53" spans="1:7">
      <c r="E53" s="4" t="s">
        <v>129</v>
      </c>
      <c r="F53" s="4" t="s">
        <v>130</v>
      </c>
    </row>
    <row r="54" spans="1:7">
      <c r="E54" s="4" t="s">
        <v>133</v>
      </c>
      <c r="F54" s="4" t="s">
        <v>132</v>
      </c>
    </row>
    <row r="55" spans="1:7" customFormat="1" ht="15">
      <c r="A55" s="1"/>
      <c r="B55" s="2"/>
      <c r="C55" s="3"/>
      <c r="D55" s="2"/>
      <c r="E55" s="14" t="s">
        <v>138</v>
      </c>
      <c r="F55" s="14" t="s">
        <v>139</v>
      </c>
      <c r="G55" s="4"/>
    </row>
    <row r="56" spans="1:7" customFormat="1" ht="15">
      <c r="A56" s="1"/>
      <c r="B56" s="2"/>
      <c r="C56" s="3"/>
      <c r="D56" s="2"/>
      <c r="E56" s="4" t="s">
        <v>134</v>
      </c>
      <c r="F56" s="4" t="s">
        <v>135</v>
      </c>
      <c r="G56" s="4"/>
    </row>
    <row r="57" spans="1:7">
      <c r="E57" s="4" t="s">
        <v>151</v>
      </c>
      <c r="F57" s="4" t="s">
        <v>152</v>
      </c>
    </row>
    <row r="58" spans="1:7">
      <c r="E58" s="4" t="s">
        <v>153</v>
      </c>
      <c r="F58" s="4" t="s">
        <v>154</v>
      </c>
    </row>
    <row r="59" spans="1:7">
      <c r="E59" s="4" t="s">
        <v>155</v>
      </c>
      <c r="F59" s="4" t="s">
        <v>156</v>
      </c>
    </row>
    <row r="60" spans="1:7">
      <c r="E60" s="4" t="s">
        <v>36</v>
      </c>
      <c r="F60" s="4" t="s">
        <v>157</v>
      </c>
    </row>
    <row r="61" spans="1:7">
      <c r="E61" s="4" t="s">
        <v>145</v>
      </c>
      <c r="F61" s="4" t="s">
        <v>158</v>
      </c>
    </row>
    <row r="62" spans="1:7">
      <c r="E62" s="4" t="s">
        <v>159</v>
      </c>
      <c r="F62" s="4" t="s">
        <v>160</v>
      </c>
    </row>
    <row r="63" spans="1:7">
      <c r="E63" s="4" t="s">
        <v>161</v>
      </c>
      <c r="F63" s="4" t="s">
        <v>162</v>
      </c>
    </row>
    <row r="64" spans="1:7">
      <c r="E64" s="4" t="s">
        <v>163</v>
      </c>
      <c r="F64" s="4" t="s">
        <v>164</v>
      </c>
    </row>
    <row r="65" spans="5:6">
      <c r="E65" s="4" t="s">
        <v>165</v>
      </c>
      <c r="F65" s="4" t="s">
        <v>166</v>
      </c>
    </row>
    <row r="66" spans="5:6">
      <c r="E66" s="4" t="s">
        <v>167</v>
      </c>
      <c r="F66" s="4" t="s">
        <v>168</v>
      </c>
    </row>
    <row r="67" spans="5:6">
      <c r="E67" s="244" t="s">
        <v>174</v>
      </c>
      <c r="F67" s="244" t="s">
        <v>175</v>
      </c>
    </row>
    <row r="68" spans="5:6">
      <c r="E68" s="245" t="s">
        <v>176</v>
      </c>
      <c r="F68" s="245" t="s">
        <v>177</v>
      </c>
    </row>
    <row r="69" spans="5:6">
      <c r="E69" s="244" t="s">
        <v>180</v>
      </c>
      <c r="F69" s="244" t="s">
        <v>181</v>
      </c>
    </row>
    <row r="70" spans="5:6" ht="24">
      <c r="E70" s="244" t="s">
        <v>182</v>
      </c>
      <c r="F70" s="244" t="s">
        <v>183</v>
      </c>
    </row>
    <row r="71" spans="5:6" ht="24">
      <c r="E71" s="244" t="s">
        <v>184</v>
      </c>
      <c r="F71" s="244" t="s">
        <v>185</v>
      </c>
    </row>
    <row r="72" spans="5:6" ht="24">
      <c r="E72" s="244" t="s">
        <v>186</v>
      </c>
      <c r="F72" s="244" t="s">
        <v>187</v>
      </c>
    </row>
    <row r="73" spans="5:6" ht="24">
      <c r="E73" s="244" t="s">
        <v>200</v>
      </c>
      <c r="F73" s="244" t="s">
        <v>201</v>
      </c>
    </row>
    <row r="74" spans="5:6">
      <c r="E74" s="244" t="s">
        <v>188</v>
      </c>
      <c r="F74" s="244" t="s">
        <v>189</v>
      </c>
    </row>
    <row r="75" spans="5:6">
      <c r="E75" s="244" t="s">
        <v>192</v>
      </c>
      <c r="F75" s="244" t="s">
        <v>193</v>
      </c>
    </row>
    <row r="76" spans="5:6">
      <c r="E76" s="244" t="s">
        <v>194</v>
      </c>
      <c r="F76" s="244" t="s">
        <v>195</v>
      </c>
    </row>
    <row r="77" spans="5:6" ht="24">
      <c r="E77" s="244" t="s">
        <v>196</v>
      </c>
      <c r="F77" s="244" t="s">
        <v>197</v>
      </c>
    </row>
    <row r="78" spans="5:6">
      <c r="E78" s="244" t="s">
        <v>198</v>
      </c>
      <c r="F78" s="244" t="s">
        <v>199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Cortec</vt:lpstr>
      <vt:lpstr>Configurator</vt:lpstr>
      <vt:lpstr>Master Text</vt:lpstr>
      <vt:lpstr>Accessories</vt:lpstr>
      <vt:lpstr>Database</vt:lpstr>
      <vt:lpstr>Date Drivers</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fcn</dc:creator>
  <cp:lastModifiedBy>Zapella, Marcelo (GE Power)</cp:lastModifiedBy>
  <dcterms:created xsi:type="dcterms:W3CDTF">2015-01-23T18:58:08Z</dcterms:created>
  <dcterms:modified xsi:type="dcterms:W3CDTF">2019-07-11T17:00:01Z</dcterms:modified>
</cp:coreProperties>
</file>